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0" yWindow="2385" windowWidth="8385" windowHeight="7200" tabRatio="828" activeTab="0"/>
  </bookViews>
  <sheets>
    <sheet name="Pertes de charge % J-Z" sheetId="1" r:id="rId1"/>
  </sheets>
  <definedNames>
    <definedName name="_xlnm.Print_Area" localSheetId="0">'Pertes de charge % J-Z'!$A$1:$X$25</definedName>
  </definedNames>
  <calcPr fullCalcOnLoad="1"/>
</workbook>
</file>

<file path=xl/sharedStrings.xml><?xml version="1.0" encoding="utf-8"?>
<sst xmlns="http://schemas.openxmlformats.org/spreadsheetml/2006/main" count="41" uniqueCount="27">
  <si>
    <t>Vitesse en m/s</t>
  </si>
  <si>
    <t>Re</t>
  </si>
  <si>
    <t>Cpe</t>
  </si>
  <si>
    <t>Nature du tube</t>
  </si>
  <si>
    <t>D intérieur en mm</t>
  </si>
  <si>
    <t>Masse volumique de l'eau Kg/M3</t>
  </si>
  <si>
    <t>Tronçon du circuit</t>
  </si>
  <si>
    <t>Longueur du tronçon Départ + Retour</t>
  </si>
  <si>
    <t>A</t>
  </si>
  <si>
    <t>B</t>
  </si>
  <si>
    <t>C</t>
  </si>
  <si>
    <t>Rapport pertes linéiques/pertes singulières (J/Z) en % :</t>
  </si>
  <si>
    <t>Delta T Départ/Retour</t>
  </si>
  <si>
    <t>T° de départ du fluide</t>
  </si>
  <si>
    <t>Litres/Heure</t>
  </si>
  <si>
    <t>% Z</t>
  </si>
  <si>
    <t>% J</t>
  </si>
  <si>
    <t>Rapport J/Z</t>
  </si>
  <si>
    <t>Description du tronçon</t>
  </si>
  <si>
    <t>Moyenne</t>
  </si>
  <si>
    <t>Total</t>
  </si>
  <si>
    <t>Litres/heure</t>
  </si>
  <si>
    <t>Puissance en Watts</t>
  </si>
  <si>
    <t>Valeurs en Pascal</t>
  </si>
  <si>
    <t>Valeur en mmCE</t>
  </si>
  <si>
    <t>Pertes de charge totales ( J + Z ) pour le circuit étudié en définissant le rapport J/Z.</t>
  </si>
  <si>
    <t>&lt;-- à partir de la masse volumique moyenne !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</si>
</sst>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"/>
    <numFmt numFmtId="176" formatCode="0.0000"/>
    <numFmt numFmtId="177" formatCode="0.0"/>
    <numFmt numFmtId="178" formatCode="0.000000000"/>
    <numFmt numFmtId="179" formatCode="0.0000000000"/>
    <numFmt numFmtId="180" formatCode="0.00000000000000"/>
    <numFmt numFmtId="181" formatCode="###.00&quot;mbar&quot;"/>
    <numFmt numFmtId="182" formatCode="###.00&quot; mbar&quot;"/>
    <numFmt numFmtId="183" formatCode="###.##&quot; mbar&quot;"/>
    <numFmt numFmtId="184" formatCode="###0.00&quot; mbar&quot;"/>
    <numFmt numFmtId="185" formatCode="0.000000"/>
    <numFmt numFmtId="186" formatCode="0.00000000"/>
    <numFmt numFmtId="187" formatCode="0.0000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1"/>
      <color indexed="60"/>
      <name val="Arial"/>
      <family val="2"/>
    </font>
    <font>
      <b/>
      <sz val="10"/>
      <color indexed="62"/>
      <name val="Arial"/>
      <family val="2"/>
    </font>
    <font>
      <b/>
      <sz val="11"/>
      <color indexed="16"/>
      <name val="Arial"/>
      <family val="2"/>
    </font>
    <font>
      <sz val="8"/>
      <name val="Tahoma"/>
      <family val="2"/>
    </font>
    <font>
      <sz val="11"/>
      <color indexed="51"/>
      <name val="Arial"/>
      <family val="2"/>
    </font>
    <font>
      <sz val="10"/>
      <color indexed="51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8"/>
      <name val="Arial"/>
      <family val="2"/>
    </font>
    <font>
      <b/>
      <sz val="14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 quotePrefix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8" fillId="0" borderId="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" fillId="4" borderId="2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174" fontId="0" fillId="0" borderId="0" xfId="0" applyNumberFormat="1" applyAlignment="1" applyProtection="1">
      <alignment/>
      <protection/>
    </xf>
    <xf numFmtId="0" fontId="1" fillId="4" borderId="3" xfId="0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175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 vertical="center"/>
      <protection/>
    </xf>
    <xf numFmtId="2" fontId="1" fillId="5" borderId="6" xfId="0" applyNumberFormat="1" applyFont="1" applyFill="1" applyBorder="1" applyAlignment="1" applyProtection="1">
      <alignment horizont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/>
      <protection/>
    </xf>
    <xf numFmtId="2" fontId="5" fillId="5" borderId="7" xfId="0" applyNumberFormat="1" applyFont="1" applyFill="1" applyBorder="1" applyAlignment="1" applyProtection="1">
      <alignment horizontal="center" vertical="center"/>
      <protection/>
    </xf>
    <xf numFmtId="2" fontId="5" fillId="5" borderId="7" xfId="0" applyNumberFormat="1" applyFont="1" applyFill="1" applyBorder="1" applyAlignment="1" applyProtection="1">
      <alignment horizontal="center"/>
      <protection/>
    </xf>
    <xf numFmtId="2" fontId="8" fillId="5" borderId="7" xfId="0" applyNumberFormat="1" applyFont="1" applyFill="1" applyBorder="1" applyAlignment="1" applyProtection="1">
      <alignment horizontal="center"/>
      <protection/>
    </xf>
    <xf numFmtId="2" fontId="8" fillId="5" borderId="8" xfId="0" applyNumberFormat="1" applyFont="1" applyFill="1" applyBorder="1" applyAlignment="1" applyProtection="1">
      <alignment horizontal="center"/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11" fillId="6" borderId="9" xfId="0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/>
      <protection/>
    </xf>
    <xf numFmtId="2" fontId="4" fillId="0" borderId="6" xfId="0" applyNumberFormat="1" applyFont="1" applyBorder="1" applyAlignment="1" applyProtection="1">
      <alignment/>
      <protection/>
    </xf>
    <xf numFmtId="0" fontId="0" fillId="6" borderId="10" xfId="0" applyFill="1" applyBorder="1" applyAlignment="1">
      <alignment/>
    </xf>
    <xf numFmtId="0" fontId="12" fillId="6" borderId="10" xfId="0" applyFont="1" applyFill="1" applyBorder="1" applyAlignment="1">
      <alignment horizontal="right" vertical="center"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184" fontId="9" fillId="0" borderId="1" xfId="0" applyNumberFormat="1" applyFont="1" applyBorder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16" fillId="7" borderId="12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5" borderId="15" xfId="0" applyFill="1" applyBorder="1" applyAlignment="1" applyProtection="1">
      <alignment/>
      <protection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1" fillId="5" borderId="20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1" fillId="5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2" xfId="0" applyFont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9" fillId="0" borderId="14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Z55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3" sqref="H33"/>
    </sheetView>
  </sheetViews>
  <sheetFormatPr defaultColWidth="11.421875" defaultRowHeight="12.75" outlineLevelCol="1"/>
  <cols>
    <col min="1" max="1" width="9.421875" style="1" bestFit="1" customWidth="1"/>
    <col min="2" max="2" width="24.57421875" style="1" customWidth="1"/>
    <col min="3" max="3" width="12.00390625" style="1" customWidth="1"/>
    <col min="4" max="4" width="12.140625" style="1" customWidth="1"/>
    <col min="5" max="5" width="9.28125" style="1" customWidth="1"/>
    <col min="6" max="6" width="8.7109375" style="1" customWidth="1"/>
    <col min="7" max="7" width="12.140625" style="1" bestFit="1" customWidth="1"/>
    <col min="8" max="8" width="14.7109375" style="1" customWidth="1"/>
    <col min="9" max="9" width="16.8515625" style="1" hidden="1" customWidth="1" outlineLevel="1"/>
    <col min="10" max="10" width="12.00390625" style="1" hidden="1" customWidth="1" outlineLevel="1"/>
    <col min="11" max="11" width="12.00390625" style="1" customWidth="1" collapsed="1"/>
    <col min="12" max="12" width="12.8515625" style="1" hidden="1" customWidth="1" outlineLevel="1"/>
    <col min="13" max="14" width="11.00390625" style="1" hidden="1" customWidth="1" outlineLevel="1"/>
    <col min="15" max="15" width="12.00390625" style="1" hidden="1" customWidth="1" outlineLevel="1"/>
    <col min="16" max="16" width="11.00390625" style="1" hidden="1" customWidth="1" outlineLevel="1"/>
    <col min="17" max="17" width="11.00390625" style="2" customWidth="1" collapsed="1"/>
    <col min="18" max="18" width="9.7109375" style="2" customWidth="1"/>
    <col min="19" max="19" width="9.28125" style="2" bestFit="1" customWidth="1"/>
    <col min="20" max="20" width="8.7109375" style="2" customWidth="1"/>
    <col min="21" max="21" width="9.421875" style="2" customWidth="1"/>
    <col min="22" max="22" width="9.7109375" style="1" customWidth="1"/>
    <col min="23" max="23" width="9.28125" style="1" customWidth="1"/>
    <col min="24" max="24" width="13.421875" style="1" customWidth="1"/>
    <col min="25" max="16384" width="11.421875" style="1" customWidth="1"/>
  </cols>
  <sheetData>
    <row r="1" spans="1:24" ht="18.75" thickBo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4" customFormat="1" ht="23.25" customHeight="1" thickBot="1">
      <c r="A2" s="5"/>
      <c r="B2" s="41">
        <v>2</v>
      </c>
      <c r="C2" s="45"/>
      <c r="D2" s="46">
        <v>1</v>
      </c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s="7" customFormat="1" ht="56.25" customHeight="1">
      <c r="A3" s="24" t="s">
        <v>6</v>
      </c>
      <c r="B3" s="25" t="s">
        <v>18</v>
      </c>
      <c r="C3" s="25" t="str">
        <f>IF(B2=1,"Puissance en Watts","Litres/Heure")</f>
        <v>Litres/Heure</v>
      </c>
      <c r="D3" s="25" t="s">
        <v>7</v>
      </c>
      <c r="E3" s="25" t="s">
        <v>4</v>
      </c>
      <c r="F3" s="25" t="s">
        <v>3</v>
      </c>
      <c r="G3" s="25" t="s">
        <v>13</v>
      </c>
      <c r="H3" s="25" t="s">
        <v>12</v>
      </c>
      <c r="I3" s="25" t="s">
        <v>5</v>
      </c>
      <c r="J3" s="25" t="s">
        <v>14</v>
      </c>
      <c r="K3" s="25" t="s">
        <v>0</v>
      </c>
      <c r="L3" s="25" t="s">
        <v>1</v>
      </c>
      <c r="M3" s="25" t="s">
        <v>8</v>
      </c>
      <c r="N3" s="25" t="s">
        <v>9</v>
      </c>
      <c r="O3" s="25" t="s">
        <v>10</v>
      </c>
      <c r="P3" s="25" t="s">
        <v>2</v>
      </c>
      <c r="Q3" s="40" t="str">
        <f>IF(D2=1,"J en Pa/m","J en mmCE/m")</f>
        <v>J en Pa/m</v>
      </c>
      <c r="R3" s="26" t="str">
        <f>IF(D2=1,"J en Pa","J en mmCE")</f>
        <v>J en Pa</v>
      </c>
      <c r="S3" s="26" t="s">
        <v>16</v>
      </c>
      <c r="T3" s="26" t="s">
        <v>15</v>
      </c>
      <c r="U3" s="27" t="s">
        <v>17</v>
      </c>
      <c r="V3" s="27" t="str">
        <f>IF(D2=1,"Z en Pa/m","Z en mmCE/m")</f>
        <v>Z en Pa/m</v>
      </c>
      <c r="W3" s="27" t="str">
        <f>IF(D2=1,"Z en Pa","Z en mmCE")</f>
        <v>Z en Pa</v>
      </c>
      <c r="X3" s="28" t="str">
        <f>"Pertes Totale J + Z du tronçon en "&amp;IF(D2=1,"Pa","mmCE")</f>
        <v>Pertes Totale J + Z du tronçon en Pa</v>
      </c>
    </row>
    <row r="4" spans="1:25" ht="12.75">
      <c r="A4" s="19">
        <v>1</v>
      </c>
      <c r="B4" s="21"/>
      <c r="C4" s="11"/>
      <c r="D4" s="11"/>
      <c r="E4" s="12"/>
      <c r="F4" s="12"/>
      <c r="G4" s="54"/>
      <c r="H4" s="6"/>
      <c r="I4" s="8">
        <f>IF(AND($G$4&lt;&gt;"",H4&lt;&gt;""),0.0000000008*($G$4-(H4/2))^5+-0.000000303*($G$4-(H4/2))^4+0.000053678*($G$4-(H4/2))^3+-0.00780474*($G$4-(H4/2))^2+0.0523705799*($G$4-(H4/2))+999.83932,"")</f>
      </c>
      <c r="J4" s="8">
        <f>IF(AND(C4&lt;&gt;"",H4&lt;&gt;""),IF($B$2=1,C4/(H4*(4.1855/3.6)*(I4*0.001)),C4),"")</f>
      </c>
      <c r="K4" s="42">
        <f>IF(AND(E4&lt;&gt;"",E4&lt;&gt;0,J4&lt;&gt;0,J4&lt;&gt;""),((J4/3600)*0.001)/((E4/2*0.001)^2*PI()),"")</f>
      </c>
      <c r="L4" s="13">
        <f>IF(AND(E4&lt;&gt;"",K4&lt;&gt;"",E4&lt;&gt;0,K4&lt;&gt;0),(K4*(E4*0.001))/(-2.2183992*10^-12*($G$4-(H4/2))^3+0.00051252585*10^-6*($G$4-(H4/2))^2-0.043254681*10^-6*($G$4-(H4/2))+1.6993718*10^-6),0)</f>
        <v>0</v>
      </c>
      <c r="M4" s="14">
        <f>IF(AND(F4&lt;&gt;"",E4&lt;&gt;"",L4&lt;&gt;0),IF(L4&gt;2320,-2*LOG((IF(F4="Cuivre",0.0000015,IF(F4="Acier",0.00005,0.000003))/(E4/1000))/3.71+12/L4),0),0)</f>
        <v>0</v>
      </c>
      <c r="N4" s="14">
        <f>IF(M4&lt;&gt;0,-2*LOG((IF(F4="Cuivre",0.0000015,IF(F4="Acier",0.00005,0.000003))/(E4/1000))/3.71+2.51*M4/L4),0)</f>
        <v>0</v>
      </c>
      <c r="O4" s="14">
        <f>IF(N4&lt;&gt;0,-2*LOG((IF(F4="Cuivre",0.0000015,IF(F4="Acier",0.00005,0.000003))/(E4/1000))/3.71+2.51*N4/L4),0)</f>
        <v>0</v>
      </c>
      <c r="P4" s="15">
        <f>IF(AND(L4&lt;&gt;0,F4&lt;&gt;""),IF(L4&lt;=2320,64/L4,(M4-((M4-N4)^2)/(M4+O4-(2*N4)))^-2),0)</f>
        <v>0</v>
      </c>
      <c r="Q4" s="43">
        <f>IF(AND(E4&lt;&gt;"",K4&lt;&gt;0,P4&lt;&gt;0),IF($D$2=1,P4/(E4/1000)*K4^2/2*I4,P4/(E4/1000)*K4^2/(2*9.81)*1000),"")</f>
      </c>
      <c r="R4" s="43">
        <f>IF(AND(Q4&lt;&gt;"",D4&lt;&gt;""),Q4*D4,"")</f>
      </c>
      <c r="S4" s="29"/>
      <c r="T4" s="30">
        <f>IF(S4&lt;&gt;"",100-S4,"")</f>
      </c>
      <c r="U4" s="43">
        <f>IF(AND(S4&lt;&gt;"",T4&lt;&gt;""),IF(ISERROR(S4/T4),"",S4/T4),"")</f>
      </c>
      <c r="V4" s="43">
        <f>IF(AND(Q4&lt;&gt;"",U4&lt;&gt;""),Q4/U4,"")</f>
      </c>
      <c r="W4" s="43">
        <f>IF(AND(V4&lt;&gt;"",D4&lt;&gt;""),V4*D4,"")</f>
      </c>
      <c r="X4" s="44">
        <f>IF(W4="",R4,R4+W4)</f>
      </c>
      <c r="Y4" s="23"/>
    </row>
    <row r="5" spans="1:25" ht="12.75">
      <c r="A5" s="19">
        <v>2</v>
      </c>
      <c r="B5" s="21"/>
      <c r="C5" s="11"/>
      <c r="D5" s="11"/>
      <c r="E5" s="12"/>
      <c r="F5" s="12"/>
      <c r="G5" s="54"/>
      <c r="H5" s="6"/>
      <c r="I5" s="8">
        <f aca="true" t="shared" si="0" ref="I5:I23">IF(AND($G$4&lt;&gt;"",H5&lt;&gt;""),0.0000000008*($G$4-(H5/2))^5+-0.000000303*($G$4-(H5/2))^4+0.000053678*($G$4-(H5/2))^3+-0.00780474*($G$4-(H5/2))^2+0.0523705799*($G$4-(H5/2))+999.83932,"")</f>
      </c>
      <c r="J5" s="8">
        <f aca="true" t="shared" si="1" ref="J5:J23">IF(AND(C5&lt;&gt;"",H5&lt;&gt;""),IF($B$2=1,C5/(H5*(4.1855/3.6)*(I5*0.001)),C5),"")</f>
      </c>
      <c r="K5" s="42">
        <f aca="true" t="shared" si="2" ref="K5:K23">IF(AND(E5&lt;&gt;"",E5&lt;&gt;0,J5&lt;&gt;0,J5&lt;&gt;""),((J5/3600)*0.001)/((E5/2*0.001)^2*PI()),"")</f>
      </c>
      <c r="L5" s="13">
        <f>IF(AND(E5&lt;&gt;"",K5&lt;&gt;"",E5&lt;&gt;0,K5&lt;&gt;0),(K5*(E5*0.001))/(-2.2183992*10^-12*($G$4-(H5/2))^3+0.00051252585*10^-6*($G$4-(H5/2))^2-0.043254681*10^-6*($G$4-(H5/2))+1.6993718*10^-6),0)</f>
        <v>0</v>
      </c>
      <c r="M5" s="14">
        <f>IF(AND(F5&lt;&gt;"",E5&lt;&gt;"",L5&lt;&gt;0),IF(L5&gt;2320,-2*LOG((IF(F5="Cuivre",0.0000015,IF(F5="Acier",0.00005,0.000003))/(E5/1000))/3.71+12/L5),0),0)</f>
        <v>0</v>
      </c>
      <c r="N5" s="14">
        <f>IF(M5&lt;&gt;0,-2*LOG((IF(F5="Cuivre",0.0000015,IF(F5="Acier",0.00005,0.000003))/(E5/1000))/3.71+2.51*M5/L5),0)</f>
        <v>0</v>
      </c>
      <c r="O5" s="14">
        <f>IF(N5&lt;&gt;0,-2*LOG((IF(F5="Cuivre",0.0000015,IF(F5="Acier",0.00005,0.000003))/(E5/1000))/3.71+2.51*N5/L5),0)</f>
        <v>0</v>
      </c>
      <c r="P5" s="15">
        <f>IF(AND(L5&lt;&gt;0,F5&lt;&gt;""),IF(L5&lt;=2320,64/L5,(M5-((M5-N5)^2)/(M5+O5-(2*N5)))^-2),0)</f>
        <v>0</v>
      </c>
      <c r="Q5" s="43">
        <f aca="true" t="shared" si="3" ref="Q5:Q23">IF(AND(E5&lt;&gt;"",K5&lt;&gt;0,P5&lt;&gt;0),IF($D$2=1,P5/(E5/1000)*K5^2/2*I5,P5/(E5/1000)*K5^2/(2*9.81)*1000),"")</f>
      </c>
      <c r="R5" s="43">
        <f>IF(AND(Q5&lt;&gt;"",D5&lt;&gt;""),Q5*D5,"")</f>
      </c>
      <c r="S5" s="29"/>
      <c r="T5" s="30">
        <f aca="true" t="shared" si="4" ref="T5:T23">IF(S5&lt;&gt;"",100-S5,"")</f>
      </c>
      <c r="U5" s="43">
        <f aca="true" t="shared" si="5" ref="U5:U23">IF(AND(S5&lt;&gt;"",T5&lt;&gt;""),IF(ISERROR(S5/T5),"",S5/T5),"")</f>
      </c>
      <c r="V5" s="43">
        <f aca="true" t="shared" si="6" ref="V5:V23">IF(AND(Q5&lt;&gt;"",U5&lt;&gt;""),Q5/U5,"")</f>
      </c>
      <c r="W5" s="43">
        <f aca="true" t="shared" si="7" ref="W5:W23">IF(AND(V5&lt;&gt;"",D5&lt;&gt;""),V5*D5,"")</f>
      </c>
      <c r="X5" s="44">
        <f aca="true" t="shared" si="8" ref="X5:X23">IF(W5="",R5,R5+W5)</f>
      </c>
      <c r="Y5" s="18"/>
    </row>
    <row r="6" spans="1:25" ht="12.75">
      <c r="A6" s="19">
        <v>3</v>
      </c>
      <c r="B6" s="21"/>
      <c r="C6" s="11"/>
      <c r="D6" s="11"/>
      <c r="E6" s="12"/>
      <c r="F6" s="12"/>
      <c r="G6" s="54"/>
      <c r="H6" s="6"/>
      <c r="I6" s="8">
        <f t="shared" si="0"/>
      </c>
      <c r="J6" s="8">
        <f t="shared" si="1"/>
      </c>
      <c r="K6" s="42">
        <f t="shared" si="2"/>
      </c>
      <c r="L6" s="13">
        <f aca="true" t="shared" si="9" ref="L6:L23">IF(AND(E6&lt;&gt;"",K6&lt;&gt;"",E6&lt;&gt;0,K6&lt;&gt;0),(K6*(E6*0.001))/(-2.2183992*10^-12*($G$4-(H6/2))^3+0.00051252585*10^-6*($G$4-(H6/2))^2-0.043254681*10^-6*($G$4-(H6/2))+1.6993718*10^-6),0)</f>
        <v>0</v>
      </c>
      <c r="M6" s="14">
        <f>IF(AND(F6&lt;&gt;"",E6&lt;&gt;"",L6&lt;&gt;0),IF(L6&gt;2320,-2*LOG((IF(F6="Cuivre",0.0000015,IF(F6="Acier",0.00005,0.000003))/(E6/1000))/3.71+12/L6),0),0)</f>
        <v>0</v>
      </c>
      <c r="N6" s="14">
        <f aca="true" t="shared" si="10" ref="N6:N23">IF(M6&lt;&gt;0,-2*LOG((IF(F6="Cuivre",0.0000015,IF(F6="Acier",0.00005,0.000003))/(E6/1000))/3.71+2.51*M6/L6),0)</f>
        <v>0</v>
      </c>
      <c r="O6" s="14">
        <f>IF(N6&lt;&gt;0,-2*LOG((IF(F6="Cuivre",0.0000015,IF(F6="Acier",0.00005,0.000003))/(E6/1000))/3.71+2.51*N6/L6),0)</f>
        <v>0</v>
      </c>
      <c r="P6" s="15">
        <f aca="true" t="shared" si="11" ref="P6:P23">IF(AND(L6&lt;&gt;0,F6&lt;&gt;""),IF(L6&lt;=2320,64/L6,(M6-((M6-N6)^2)/(M6+O6-(2*N6)))^-2),0)</f>
        <v>0</v>
      </c>
      <c r="Q6" s="43">
        <f t="shared" si="3"/>
      </c>
      <c r="R6" s="43">
        <f aca="true" t="shared" si="12" ref="R6:R23">IF(AND(Q6&lt;&gt;"",D6&lt;&gt;""),Q6*D6,"")</f>
      </c>
      <c r="S6" s="29"/>
      <c r="T6" s="30">
        <f t="shared" si="4"/>
      </c>
      <c r="U6" s="43">
        <f t="shared" si="5"/>
      </c>
      <c r="V6" s="43">
        <f t="shared" si="6"/>
      </c>
      <c r="W6" s="43">
        <f t="shared" si="7"/>
      </c>
      <c r="X6" s="44">
        <f t="shared" si="8"/>
      </c>
      <c r="Y6" s="23"/>
    </row>
    <row r="7" spans="1:26" ht="12.75">
      <c r="A7" s="19">
        <v>4</v>
      </c>
      <c r="B7" s="47"/>
      <c r="C7" s="11"/>
      <c r="D7" s="11"/>
      <c r="E7" s="12"/>
      <c r="F7" s="12"/>
      <c r="G7" s="54"/>
      <c r="H7" s="6"/>
      <c r="I7" s="8">
        <f t="shared" si="0"/>
      </c>
      <c r="J7" s="8">
        <f t="shared" si="1"/>
      </c>
      <c r="K7" s="42">
        <f t="shared" si="2"/>
      </c>
      <c r="L7" s="13">
        <f t="shared" si="9"/>
        <v>0</v>
      </c>
      <c r="M7" s="14">
        <f aca="true" t="shared" si="13" ref="M7:M23">IF(AND(F7&lt;&gt;"",E7&lt;&gt;"",L7&lt;&gt;0),IF(L7&gt;2320,-2*LOG((IF(F7="Cuivre",0.0000015,IF(F7="Acier",0.00005,0.000003))/(E7/1000))/3.71+12/L7),0),0)</f>
        <v>0</v>
      </c>
      <c r="N7" s="14">
        <f t="shared" si="10"/>
        <v>0</v>
      </c>
      <c r="O7" s="14">
        <f aca="true" t="shared" si="14" ref="O7:O23">IF(N7&lt;&gt;0,-2*LOG((IF(F7="Cuivre",0.0000015,IF(F7="Acier",0.00005,0.000003))/(E7/1000))/3.71+2.51*N7/L7),0)</f>
        <v>0</v>
      </c>
      <c r="P7" s="15">
        <f t="shared" si="11"/>
        <v>0</v>
      </c>
      <c r="Q7" s="43">
        <f t="shared" si="3"/>
      </c>
      <c r="R7" s="43">
        <f t="shared" si="12"/>
      </c>
      <c r="S7" s="29"/>
      <c r="T7" s="30">
        <f t="shared" si="4"/>
      </c>
      <c r="U7" s="43">
        <f t="shared" si="5"/>
      </c>
      <c r="V7" s="43">
        <f t="shared" si="6"/>
      </c>
      <c r="W7" s="43">
        <f t="shared" si="7"/>
      </c>
      <c r="X7" s="44">
        <f t="shared" si="8"/>
      </c>
      <c r="Z7" s="18"/>
    </row>
    <row r="8" spans="1:24" ht="12.75">
      <c r="A8" s="19">
        <v>5</v>
      </c>
      <c r="B8" s="21"/>
      <c r="C8" s="11"/>
      <c r="D8" s="11"/>
      <c r="E8" s="12"/>
      <c r="F8" s="12"/>
      <c r="G8" s="54"/>
      <c r="H8" s="6"/>
      <c r="I8" s="8">
        <f t="shared" si="0"/>
      </c>
      <c r="J8" s="8">
        <f t="shared" si="1"/>
      </c>
      <c r="K8" s="42">
        <f t="shared" si="2"/>
      </c>
      <c r="L8" s="13">
        <f t="shared" si="9"/>
        <v>0</v>
      </c>
      <c r="M8" s="14">
        <f t="shared" si="13"/>
        <v>0</v>
      </c>
      <c r="N8" s="14">
        <f t="shared" si="10"/>
        <v>0</v>
      </c>
      <c r="O8" s="14">
        <f t="shared" si="14"/>
        <v>0</v>
      </c>
      <c r="P8" s="15">
        <f t="shared" si="11"/>
        <v>0</v>
      </c>
      <c r="Q8" s="43">
        <f t="shared" si="3"/>
      </c>
      <c r="R8" s="43">
        <f t="shared" si="12"/>
      </c>
      <c r="S8" s="29"/>
      <c r="T8" s="30">
        <f t="shared" si="4"/>
      </c>
      <c r="U8" s="43">
        <f t="shared" si="5"/>
      </c>
      <c r="V8" s="43">
        <f t="shared" si="6"/>
      </c>
      <c r="W8" s="43">
        <f t="shared" si="7"/>
      </c>
      <c r="X8" s="44">
        <f t="shared" si="8"/>
      </c>
    </row>
    <row r="9" spans="1:24" ht="12.75">
      <c r="A9" s="19">
        <v>6</v>
      </c>
      <c r="B9" s="21"/>
      <c r="C9" s="11"/>
      <c r="D9" s="11"/>
      <c r="E9" s="12"/>
      <c r="F9" s="12"/>
      <c r="G9" s="54"/>
      <c r="H9" s="6"/>
      <c r="I9" s="8">
        <f t="shared" si="0"/>
      </c>
      <c r="J9" s="8">
        <f t="shared" si="1"/>
      </c>
      <c r="K9" s="42">
        <f t="shared" si="2"/>
      </c>
      <c r="L9" s="13">
        <f t="shared" si="9"/>
        <v>0</v>
      </c>
      <c r="M9" s="14">
        <f t="shared" si="13"/>
        <v>0</v>
      </c>
      <c r="N9" s="14">
        <f t="shared" si="10"/>
        <v>0</v>
      </c>
      <c r="O9" s="14">
        <f t="shared" si="14"/>
        <v>0</v>
      </c>
      <c r="P9" s="15">
        <f t="shared" si="11"/>
        <v>0</v>
      </c>
      <c r="Q9" s="43">
        <f t="shared" si="3"/>
      </c>
      <c r="R9" s="43">
        <f t="shared" si="12"/>
      </c>
      <c r="S9" s="29"/>
      <c r="T9" s="30">
        <f t="shared" si="4"/>
      </c>
      <c r="U9" s="43">
        <f t="shared" si="5"/>
      </c>
      <c r="V9" s="43">
        <f t="shared" si="6"/>
      </c>
      <c r="W9" s="43">
        <f t="shared" si="7"/>
      </c>
      <c r="X9" s="44">
        <f t="shared" si="8"/>
      </c>
    </row>
    <row r="10" spans="1:24" ht="12.75">
      <c r="A10" s="19">
        <v>7</v>
      </c>
      <c r="B10" s="21"/>
      <c r="C10" s="11"/>
      <c r="D10" s="11"/>
      <c r="E10" s="12"/>
      <c r="F10" s="12"/>
      <c r="G10" s="54"/>
      <c r="H10" s="6"/>
      <c r="I10" s="8">
        <f t="shared" si="0"/>
      </c>
      <c r="J10" s="8">
        <f t="shared" si="1"/>
      </c>
      <c r="K10" s="42">
        <f t="shared" si="2"/>
      </c>
      <c r="L10" s="13">
        <f t="shared" si="9"/>
        <v>0</v>
      </c>
      <c r="M10" s="14">
        <f t="shared" si="13"/>
        <v>0</v>
      </c>
      <c r="N10" s="14">
        <f t="shared" si="10"/>
        <v>0</v>
      </c>
      <c r="O10" s="14">
        <f t="shared" si="14"/>
        <v>0</v>
      </c>
      <c r="P10" s="15">
        <f t="shared" si="11"/>
        <v>0</v>
      </c>
      <c r="Q10" s="43">
        <f t="shared" si="3"/>
      </c>
      <c r="R10" s="43">
        <f t="shared" si="12"/>
      </c>
      <c r="S10" s="29"/>
      <c r="T10" s="30">
        <f t="shared" si="4"/>
      </c>
      <c r="U10" s="43">
        <f t="shared" si="5"/>
      </c>
      <c r="V10" s="43">
        <f t="shared" si="6"/>
      </c>
      <c r="W10" s="43">
        <f t="shared" si="7"/>
      </c>
      <c r="X10" s="44">
        <f t="shared" si="8"/>
      </c>
    </row>
    <row r="11" spans="1:24" ht="12.75">
      <c r="A11" s="19">
        <v>8</v>
      </c>
      <c r="B11" s="21"/>
      <c r="C11" s="11"/>
      <c r="D11" s="11"/>
      <c r="E11" s="12"/>
      <c r="F11" s="12"/>
      <c r="G11" s="54"/>
      <c r="H11" s="6"/>
      <c r="I11" s="8">
        <f t="shared" si="0"/>
      </c>
      <c r="J11" s="8">
        <f t="shared" si="1"/>
      </c>
      <c r="K11" s="42">
        <f t="shared" si="2"/>
      </c>
      <c r="L11" s="13">
        <f t="shared" si="9"/>
        <v>0</v>
      </c>
      <c r="M11" s="14">
        <f t="shared" si="13"/>
        <v>0</v>
      </c>
      <c r="N11" s="14">
        <f t="shared" si="10"/>
        <v>0</v>
      </c>
      <c r="O11" s="14">
        <f t="shared" si="14"/>
        <v>0</v>
      </c>
      <c r="P11" s="15">
        <f t="shared" si="11"/>
        <v>0</v>
      </c>
      <c r="Q11" s="43">
        <f t="shared" si="3"/>
      </c>
      <c r="R11" s="43">
        <f t="shared" si="12"/>
      </c>
      <c r="S11" s="29"/>
      <c r="T11" s="30">
        <f t="shared" si="4"/>
      </c>
      <c r="U11" s="43">
        <f t="shared" si="5"/>
      </c>
      <c r="V11" s="43">
        <f t="shared" si="6"/>
      </c>
      <c r="W11" s="43">
        <f t="shared" si="7"/>
      </c>
      <c r="X11" s="44">
        <f t="shared" si="8"/>
      </c>
    </row>
    <row r="12" spans="1:24" ht="12.75">
      <c r="A12" s="19">
        <v>9</v>
      </c>
      <c r="B12" s="21"/>
      <c r="C12" s="11"/>
      <c r="D12" s="11"/>
      <c r="E12" s="12"/>
      <c r="F12" s="12"/>
      <c r="G12" s="54"/>
      <c r="H12" s="6"/>
      <c r="I12" s="8">
        <f t="shared" si="0"/>
      </c>
      <c r="J12" s="8">
        <f t="shared" si="1"/>
      </c>
      <c r="K12" s="42">
        <f t="shared" si="2"/>
      </c>
      <c r="L12" s="13">
        <f t="shared" si="9"/>
        <v>0</v>
      </c>
      <c r="M12" s="14">
        <f t="shared" si="13"/>
        <v>0</v>
      </c>
      <c r="N12" s="14">
        <f t="shared" si="10"/>
        <v>0</v>
      </c>
      <c r="O12" s="14">
        <f t="shared" si="14"/>
        <v>0</v>
      </c>
      <c r="P12" s="15">
        <f t="shared" si="11"/>
        <v>0</v>
      </c>
      <c r="Q12" s="43">
        <f t="shared" si="3"/>
      </c>
      <c r="R12" s="43">
        <f t="shared" si="12"/>
      </c>
      <c r="S12" s="29"/>
      <c r="T12" s="30">
        <f t="shared" si="4"/>
      </c>
      <c r="U12" s="43">
        <f t="shared" si="5"/>
      </c>
      <c r="V12" s="43">
        <f t="shared" si="6"/>
      </c>
      <c r="W12" s="43">
        <f t="shared" si="7"/>
      </c>
      <c r="X12" s="44">
        <f t="shared" si="8"/>
      </c>
    </row>
    <row r="13" spans="1:24" ht="12.75">
      <c r="A13" s="19">
        <v>10</v>
      </c>
      <c r="B13" s="21"/>
      <c r="C13" s="11"/>
      <c r="D13" s="11"/>
      <c r="E13" s="12"/>
      <c r="F13" s="12"/>
      <c r="G13" s="54"/>
      <c r="H13" s="6"/>
      <c r="I13" s="8">
        <f t="shared" si="0"/>
      </c>
      <c r="J13" s="8">
        <f t="shared" si="1"/>
      </c>
      <c r="K13" s="42">
        <f t="shared" si="2"/>
      </c>
      <c r="L13" s="13">
        <f t="shared" si="9"/>
        <v>0</v>
      </c>
      <c r="M13" s="14">
        <f t="shared" si="13"/>
        <v>0</v>
      </c>
      <c r="N13" s="14">
        <f t="shared" si="10"/>
        <v>0</v>
      </c>
      <c r="O13" s="14">
        <f t="shared" si="14"/>
        <v>0</v>
      </c>
      <c r="P13" s="15">
        <f t="shared" si="11"/>
        <v>0</v>
      </c>
      <c r="Q13" s="43">
        <f t="shared" si="3"/>
      </c>
      <c r="R13" s="43">
        <f t="shared" si="12"/>
      </c>
      <c r="S13" s="29"/>
      <c r="T13" s="30">
        <f t="shared" si="4"/>
      </c>
      <c r="U13" s="43">
        <f t="shared" si="5"/>
      </c>
      <c r="V13" s="43">
        <f t="shared" si="6"/>
      </c>
      <c r="W13" s="43">
        <f t="shared" si="7"/>
      </c>
      <c r="X13" s="44">
        <f t="shared" si="8"/>
      </c>
    </row>
    <row r="14" spans="1:24" ht="12.75">
      <c r="A14" s="19">
        <v>11</v>
      </c>
      <c r="B14" s="21"/>
      <c r="C14" s="11"/>
      <c r="D14" s="11"/>
      <c r="E14" s="12"/>
      <c r="F14" s="12"/>
      <c r="G14" s="54"/>
      <c r="H14" s="6"/>
      <c r="I14" s="8">
        <f t="shared" si="0"/>
      </c>
      <c r="J14" s="8">
        <f t="shared" si="1"/>
      </c>
      <c r="K14" s="42">
        <f t="shared" si="2"/>
      </c>
      <c r="L14" s="13">
        <f t="shared" si="9"/>
        <v>0</v>
      </c>
      <c r="M14" s="14">
        <f t="shared" si="13"/>
        <v>0</v>
      </c>
      <c r="N14" s="14">
        <f t="shared" si="10"/>
        <v>0</v>
      </c>
      <c r="O14" s="14">
        <f t="shared" si="14"/>
        <v>0</v>
      </c>
      <c r="P14" s="15">
        <f t="shared" si="11"/>
        <v>0</v>
      </c>
      <c r="Q14" s="43">
        <f t="shared" si="3"/>
      </c>
      <c r="R14" s="43">
        <f t="shared" si="12"/>
      </c>
      <c r="S14" s="29"/>
      <c r="T14" s="30">
        <f t="shared" si="4"/>
      </c>
      <c r="U14" s="43">
        <f t="shared" si="5"/>
      </c>
      <c r="V14" s="43">
        <f t="shared" si="6"/>
      </c>
      <c r="W14" s="43">
        <f t="shared" si="7"/>
      </c>
      <c r="X14" s="44">
        <f t="shared" si="8"/>
      </c>
    </row>
    <row r="15" spans="1:24" ht="12.75">
      <c r="A15" s="19">
        <v>12</v>
      </c>
      <c r="B15" s="21"/>
      <c r="C15" s="11"/>
      <c r="D15" s="11"/>
      <c r="E15" s="12"/>
      <c r="F15" s="12"/>
      <c r="G15" s="54"/>
      <c r="H15" s="6"/>
      <c r="I15" s="8">
        <f t="shared" si="0"/>
      </c>
      <c r="J15" s="8">
        <f t="shared" si="1"/>
      </c>
      <c r="K15" s="42">
        <f t="shared" si="2"/>
      </c>
      <c r="L15" s="13">
        <f t="shared" si="9"/>
        <v>0</v>
      </c>
      <c r="M15" s="14">
        <f t="shared" si="13"/>
        <v>0</v>
      </c>
      <c r="N15" s="14">
        <f t="shared" si="10"/>
        <v>0</v>
      </c>
      <c r="O15" s="14">
        <f t="shared" si="14"/>
        <v>0</v>
      </c>
      <c r="P15" s="15">
        <f t="shared" si="11"/>
        <v>0</v>
      </c>
      <c r="Q15" s="43">
        <f t="shared" si="3"/>
      </c>
      <c r="R15" s="43">
        <f t="shared" si="12"/>
      </c>
      <c r="S15" s="29"/>
      <c r="T15" s="30">
        <f t="shared" si="4"/>
      </c>
      <c r="U15" s="43">
        <f t="shared" si="5"/>
      </c>
      <c r="V15" s="43">
        <f t="shared" si="6"/>
      </c>
      <c r="W15" s="43">
        <f t="shared" si="7"/>
      </c>
      <c r="X15" s="44">
        <f t="shared" si="8"/>
      </c>
    </row>
    <row r="16" spans="1:24" ht="12.75">
      <c r="A16" s="19">
        <v>13</v>
      </c>
      <c r="B16" s="21"/>
      <c r="C16" s="11"/>
      <c r="D16" s="11"/>
      <c r="E16" s="12"/>
      <c r="F16" s="12"/>
      <c r="G16" s="54"/>
      <c r="H16" s="6"/>
      <c r="I16" s="8">
        <f t="shared" si="0"/>
      </c>
      <c r="J16" s="8">
        <f t="shared" si="1"/>
      </c>
      <c r="K16" s="42">
        <f t="shared" si="2"/>
      </c>
      <c r="L16" s="13">
        <f t="shared" si="9"/>
        <v>0</v>
      </c>
      <c r="M16" s="14">
        <f t="shared" si="13"/>
        <v>0</v>
      </c>
      <c r="N16" s="14">
        <f t="shared" si="10"/>
        <v>0</v>
      </c>
      <c r="O16" s="14">
        <f t="shared" si="14"/>
        <v>0</v>
      </c>
      <c r="P16" s="15">
        <f t="shared" si="11"/>
        <v>0</v>
      </c>
      <c r="Q16" s="43">
        <f t="shared" si="3"/>
      </c>
      <c r="R16" s="43">
        <f t="shared" si="12"/>
      </c>
      <c r="S16" s="29"/>
      <c r="T16" s="30">
        <f t="shared" si="4"/>
      </c>
      <c r="U16" s="43">
        <f t="shared" si="5"/>
      </c>
      <c r="V16" s="43">
        <f t="shared" si="6"/>
      </c>
      <c r="W16" s="43">
        <f t="shared" si="7"/>
      </c>
      <c r="X16" s="44">
        <f t="shared" si="8"/>
      </c>
    </row>
    <row r="17" spans="1:24" ht="12.75">
      <c r="A17" s="19">
        <v>14</v>
      </c>
      <c r="B17" s="21"/>
      <c r="C17" s="11"/>
      <c r="D17" s="11"/>
      <c r="E17" s="12"/>
      <c r="F17" s="12"/>
      <c r="G17" s="54"/>
      <c r="H17" s="6"/>
      <c r="I17" s="8">
        <f t="shared" si="0"/>
      </c>
      <c r="J17" s="8">
        <f t="shared" si="1"/>
      </c>
      <c r="K17" s="42">
        <f t="shared" si="2"/>
      </c>
      <c r="L17" s="13">
        <f t="shared" si="9"/>
        <v>0</v>
      </c>
      <c r="M17" s="14">
        <f t="shared" si="13"/>
        <v>0</v>
      </c>
      <c r="N17" s="14">
        <f t="shared" si="10"/>
        <v>0</v>
      </c>
      <c r="O17" s="14">
        <f t="shared" si="14"/>
        <v>0</v>
      </c>
      <c r="P17" s="15">
        <f t="shared" si="11"/>
        <v>0</v>
      </c>
      <c r="Q17" s="43">
        <f t="shared" si="3"/>
      </c>
      <c r="R17" s="43">
        <f t="shared" si="12"/>
      </c>
      <c r="S17" s="29"/>
      <c r="T17" s="30">
        <f t="shared" si="4"/>
      </c>
      <c r="U17" s="43">
        <f t="shared" si="5"/>
      </c>
      <c r="V17" s="43">
        <f t="shared" si="6"/>
      </c>
      <c r="W17" s="43">
        <f t="shared" si="7"/>
      </c>
      <c r="X17" s="44">
        <f t="shared" si="8"/>
      </c>
    </row>
    <row r="18" spans="1:24" ht="12.75">
      <c r="A18" s="19">
        <v>15</v>
      </c>
      <c r="B18" s="21"/>
      <c r="C18" s="11"/>
      <c r="D18" s="11"/>
      <c r="E18" s="12"/>
      <c r="F18" s="12"/>
      <c r="G18" s="54"/>
      <c r="H18" s="6"/>
      <c r="I18" s="8">
        <f t="shared" si="0"/>
      </c>
      <c r="J18" s="8">
        <f t="shared" si="1"/>
      </c>
      <c r="K18" s="42">
        <f t="shared" si="2"/>
      </c>
      <c r="L18" s="13">
        <f t="shared" si="9"/>
        <v>0</v>
      </c>
      <c r="M18" s="14">
        <f t="shared" si="13"/>
        <v>0</v>
      </c>
      <c r="N18" s="14">
        <f t="shared" si="10"/>
        <v>0</v>
      </c>
      <c r="O18" s="14">
        <f t="shared" si="14"/>
        <v>0</v>
      </c>
      <c r="P18" s="15">
        <f t="shared" si="11"/>
        <v>0</v>
      </c>
      <c r="Q18" s="43">
        <f t="shared" si="3"/>
      </c>
      <c r="R18" s="43">
        <f t="shared" si="12"/>
      </c>
      <c r="S18" s="29"/>
      <c r="T18" s="30">
        <f t="shared" si="4"/>
      </c>
      <c r="U18" s="43">
        <f t="shared" si="5"/>
      </c>
      <c r="V18" s="43">
        <f t="shared" si="6"/>
      </c>
      <c r="W18" s="43">
        <f t="shared" si="7"/>
      </c>
      <c r="X18" s="44">
        <f t="shared" si="8"/>
      </c>
    </row>
    <row r="19" spans="1:24" ht="12.75">
      <c r="A19" s="19">
        <v>16</v>
      </c>
      <c r="B19" s="20"/>
      <c r="C19" s="11"/>
      <c r="D19" s="11"/>
      <c r="E19" s="12"/>
      <c r="F19" s="12"/>
      <c r="G19" s="54"/>
      <c r="H19" s="6"/>
      <c r="I19" s="8">
        <f t="shared" si="0"/>
      </c>
      <c r="J19" s="8">
        <f t="shared" si="1"/>
      </c>
      <c r="K19" s="42">
        <f t="shared" si="2"/>
      </c>
      <c r="L19" s="13">
        <f t="shared" si="9"/>
        <v>0</v>
      </c>
      <c r="M19" s="14">
        <f t="shared" si="13"/>
        <v>0</v>
      </c>
      <c r="N19" s="14">
        <f t="shared" si="10"/>
        <v>0</v>
      </c>
      <c r="O19" s="14">
        <f t="shared" si="14"/>
        <v>0</v>
      </c>
      <c r="P19" s="15">
        <f t="shared" si="11"/>
        <v>0</v>
      </c>
      <c r="Q19" s="43">
        <f t="shared" si="3"/>
      </c>
      <c r="R19" s="43">
        <f t="shared" si="12"/>
      </c>
      <c r="S19" s="29"/>
      <c r="T19" s="30">
        <f t="shared" si="4"/>
      </c>
      <c r="U19" s="43">
        <f t="shared" si="5"/>
      </c>
      <c r="V19" s="43">
        <f t="shared" si="6"/>
      </c>
      <c r="W19" s="43">
        <f t="shared" si="7"/>
      </c>
      <c r="X19" s="44">
        <f t="shared" si="8"/>
      </c>
    </row>
    <row r="20" spans="1:24" ht="12.75">
      <c r="A20" s="19">
        <v>17</v>
      </c>
      <c r="B20" s="20"/>
      <c r="C20" s="11"/>
      <c r="D20" s="11"/>
      <c r="E20" s="12"/>
      <c r="F20" s="12"/>
      <c r="G20" s="54"/>
      <c r="H20" s="6"/>
      <c r="I20" s="8">
        <f t="shared" si="0"/>
      </c>
      <c r="J20" s="8">
        <f t="shared" si="1"/>
      </c>
      <c r="K20" s="42">
        <f t="shared" si="2"/>
      </c>
      <c r="L20" s="13">
        <f t="shared" si="9"/>
        <v>0</v>
      </c>
      <c r="M20" s="14">
        <f t="shared" si="13"/>
        <v>0</v>
      </c>
      <c r="N20" s="14">
        <f t="shared" si="10"/>
        <v>0</v>
      </c>
      <c r="O20" s="14">
        <f t="shared" si="14"/>
        <v>0</v>
      </c>
      <c r="P20" s="15">
        <f t="shared" si="11"/>
        <v>0</v>
      </c>
      <c r="Q20" s="43">
        <f t="shared" si="3"/>
      </c>
      <c r="R20" s="43">
        <f t="shared" si="12"/>
      </c>
      <c r="S20" s="29"/>
      <c r="T20" s="30">
        <f t="shared" si="4"/>
      </c>
      <c r="U20" s="43">
        <f t="shared" si="5"/>
      </c>
      <c r="V20" s="43">
        <f t="shared" si="6"/>
      </c>
      <c r="W20" s="43">
        <f t="shared" si="7"/>
      </c>
      <c r="X20" s="44">
        <f t="shared" si="8"/>
      </c>
    </row>
    <row r="21" spans="1:24" ht="12.75">
      <c r="A21" s="19">
        <v>18</v>
      </c>
      <c r="B21" s="20"/>
      <c r="C21" s="11"/>
      <c r="D21" s="11"/>
      <c r="E21" s="12"/>
      <c r="F21" s="12"/>
      <c r="G21" s="54"/>
      <c r="H21" s="6"/>
      <c r="I21" s="8">
        <f t="shared" si="0"/>
      </c>
      <c r="J21" s="8">
        <f t="shared" si="1"/>
      </c>
      <c r="K21" s="42">
        <f t="shared" si="2"/>
      </c>
      <c r="L21" s="13">
        <f t="shared" si="9"/>
        <v>0</v>
      </c>
      <c r="M21" s="14">
        <f t="shared" si="13"/>
        <v>0</v>
      </c>
      <c r="N21" s="14">
        <f t="shared" si="10"/>
        <v>0</v>
      </c>
      <c r="O21" s="14">
        <f t="shared" si="14"/>
        <v>0</v>
      </c>
      <c r="P21" s="15">
        <f t="shared" si="11"/>
        <v>0</v>
      </c>
      <c r="Q21" s="43">
        <f t="shared" si="3"/>
      </c>
      <c r="R21" s="43">
        <f t="shared" si="12"/>
      </c>
      <c r="S21" s="29"/>
      <c r="T21" s="30">
        <f t="shared" si="4"/>
      </c>
      <c r="U21" s="43">
        <f t="shared" si="5"/>
      </c>
      <c r="V21" s="43">
        <f t="shared" si="6"/>
      </c>
      <c r="W21" s="43">
        <f t="shared" si="7"/>
      </c>
      <c r="X21" s="44">
        <f t="shared" si="8"/>
      </c>
    </row>
    <row r="22" spans="1:24" ht="12.75">
      <c r="A22" s="19">
        <v>19</v>
      </c>
      <c r="B22" s="20"/>
      <c r="C22" s="11"/>
      <c r="D22" s="11"/>
      <c r="E22" s="12"/>
      <c r="F22" s="12"/>
      <c r="G22" s="54"/>
      <c r="H22" s="6"/>
      <c r="I22" s="8">
        <f t="shared" si="0"/>
      </c>
      <c r="J22" s="8">
        <f t="shared" si="1"/>
      </c>
      <c r="K22" s="42">
        <f t="shared" si="2"/>
      </c>
      <c r="L22" s="13">
        <f t="shared" si="9"/>
        <v>0</v>
      </c>
      <c r="M22" s="14">
        <f t="shared" si="13"/>
        <v>0</v>
      </c>
      <c r="N22" s="14">
        <f t="shared" si="10"/>
        <v>0</v>
      </c>
      <c r="O22" s="14">
        <f t="shared" si="14"/>
        <v>0</v>
      </c>
      <c r="P22" s="15">
        <f t="shared" si="11"/>
        <v>0</v>
      </c>
      <c r="Q22" s="43">
        <f t="shared" si="3"/>
      </c>
      <c r="R22" s="43">
        <f t="shared" si="12"/>
      </c>
      <c r="S22" s="29"/>
      <c r="T22" s="30">
        <f t="shared" si="4"/>
      </c>
      <c r="U22" s="43">
        <f t="shared" si="5"/>
      </c>
      <c r="V22" s="43">
        <f t="shared" si="6"/>
      </c>
      <c r="W22" s="43">
        <f t="shared" si="7"/>
      </c>
      <c r="X22" s="44">
        <f t="shared" si="8"/>
      </c>
    </row>
    <row r="23" spans="1:24" ht="12.75">
      <c r="A23" s="19">
        <v>20</v>
      </c>
      <c r="B23" s="20"/>
      <c r="C23" s="11"/>
      <c r="D23" s="11"/>
      <c r="E23" s="12"/>
      <c r="F23" s="12"/>
      <c r="G23" s="54"/>
      <c r="H23" s="6"/>
      <c r="I23" s="8">
        <f t="shared" si="0"/>
      </c>
      <c r="J23" s="8">
        <f t="shared" si="1"/>
      </c>
      <c r="K23" s="42">
        <f t="shared" si="2"/>
      </c>
      <c r="L23" s="13">
        <f t="shared" si="9"/>
        <v>0</v>
      </c>
      <c r="M23" s="14">
        <f t="shared" si="13"/>
        <v>0</v>
      </c>
      <c r="N23" s="14">
        <f t="shared" si="10"/>
        <v>0</v>
      </c>
      <c r="O23" s="14">
        <f t="shared" si="14"/>
        <v>0</v>
      </c>
      <c r="P23" s="15">
        <f t="shared" si="11"/>
        <v>0</v>
      </c>
      <c r="Q23" s="43">
        <f t="shared" si="3"/>
      </c>
      <c r="R23" s="43">
        <f t="shared" si="12"/>
      </c>
      <c r="S23" s="29"/>
      <c r="T23" s="30">
        <f t="shared" si="4"/>
      </c>
      <c r="U23" s="43">
        <f t="shared" si="5"/>
      </c>
      <c r="V23" s="43">
        <f t="shared" si="6"/>
      </c>
      <c r="W23" s="43">
        <f t="shared" si="7"/>
      </c>
      <c r="X23" s="44">
        <f t="shared" si="8"/>
      </c>
    </row>
    <row r="24" spans="1:24" ht="12.75">
      <c r="A24" s="65"/>
      <c r="B24" s="65"/>
      <c r="C24" s="31" t="s">
        <v>20</v>
      </c>
      <c r="D24" s="31" t="s">
        <v>20</v>
      </c>
      <c r="E24" s="59"/>
      <c r="F24" s="60"/>
      <c r="G24" s="61"/>
      <c r="H24" s="32" t="s">
        <v>19</v>
      </c>
      <c r="I24" s="32" t="s">
        <v>19</v>
      </c>
      <c r="J24" s="32" t="s">
        <v>19</v>
      </c>
      <c r="K24" s="32" t="s">
        <v>19</v>
      </c>
      <c r="L24" s="32" t="s">
        <v>19</v>
      </c>
      <c r="M24" s="67"/>
      <c r="N24" s="52"/>
      <c r="O24" s="68"/>
      <c r="P24" s="32" t="s">
        <v>19</v>
      </c>
      <c r="Q24" s="32" t="s">
        <v>19</v>
      </c>
      <c r="R24" s="35" t="s">
        <v>20</v>
      </c>
      <c r="S24" s="32" t="s">
        <v>19</v>
      </c>
      <c r="T24" s="32" t="s">
        <v>19</v>
      </c>
      <c r="U24" s="35" t="s">
        <v>19</v>
      </c>
      <c r="V24" s="35" t="s">
        <v>19</v>
      </c>
      <c r="W24" s="35" t="s">
        <v>20</v>
      </c>
      <c r="X24" s="33" t="s">
        <v>20</v>
      </c>
    </row>
    <row r="25" spans="1:24" ht="13.5" thickBot="1">
      <c r="A25" s="66"/>
      <c r="B25" s="66"/>
      <c r="C25" s="37">
        <f>SUM(C4:C23)</f>
        <v>0</v>
      </c>
      <c r="D25" s="37">
        <f>SUM(D4:D23)</f>
        <v>0</v>
      </c>
      <c r="E25" s="62"/>
      <c r="F25" s="63"/>
      <c r="G25" s="64"/>
      <c r="H25" s="36">
        <f>IF(COUNT(H4:H23)=0,0,SUM(H4:H23)/COUNT(H4:H23))</f>
        <v>0</v>
      </c>
      <c r="I25" s="34">
        <f>IF(COUNT(I4:I23)=0,0,SUM(I4:I23)/COUNT(I4:I23))</f>
        <v>0</v>
      </c>
      <c r="J25" s="34">
        <f>IF(COUNT(J4:J23)=0,0,SUM(J4:J23)/COUNT(J4:J23))</f>
        <v>0</v>
      </c>
      <c r="K25" s="36">
        <f>IF(COUNT(K4:K23)=0,0,SUM(K4:K23)/COUNT(K4:K23))</f>
        <v>0</v>
      </c>
      <c r="L25" s="36">
        <f>IF(COUNTIF(L4:L23,0)=20,0,SUM(L4:L23)/(20-COUNTIF(L4:L23,0)))</f>
        <v>0</v>
      </c>
      <c r="M25" s="69"/>
      <c r="N25" s="70"/>
      <c r="O25" s="71"/>
      <c r="P25" s="36">
        <f>IF(COUNTIF(P4:P23,0)=20,0,SUM(P4:P23)/(20-COUNTIF(P4:P23,0)))</f>
        <v>0</v>
      </c>
      <c r="Q25" s="36">
        <f>IF(COUNT(Q4:Q23)=0,0,SUM(Q4:Q23)/COUNT(Q4:Q23))</f>
        <v>0</v>
      </c>
      <c r="R25" s="37">
        <f>SUM(R4:R23)</f>
        <v>0</v>
      </c>
      <c r="S25" s="37">
        <f>IF(COUNT(S4:S23)=0,0,SUM(S4:S23)/COUNT(S4:S23))</f>
        <v>0</v>
      </c>
      <c r="T25" s="37">
        <f>IF(COUNT(T4:T23)=0,0,SUM(T4:T23)/COUNT(T4:T23))</f>
        <v>0</v>
      </c>
      <c r="U25" s="37">
        <f>IF(COUNT(U4:U23)=0,0,SUM(U4:U23)/COUNT(U4:U23))</f>
        <v>0</v>
      </c>
      <c r="V25" s="37">
        <f>IF(COUNT(V4:V23)=0,0,SUM(V4:V23)/COUNT(V4:V23))</f>
        <v>0</v>
      </c>
      <c r="W25" s="38">
        <f>SUM(W4:W23)</f>
        <v>0</v>
      </c>
      <c r="X25" s="39">
        <f>SUM(X4:X23)</f>
        <v>0</v>
      </c>
    </row>
    <row r="26" spans="1:24" ht="12.75">
      <c r="A26" s="72"/>
      <c r="B26" s="55"/>
      <c r="C26" s="56"/>
      <c r="D26" s="56"/>
      <c r="E26" s="56"/>
      <c r="F26" s="56"/>
      <c r="G26" s="56"/>
      <c r="H26" s="49"/>
      <c r="I26" s="83" t="s">
        <v>26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ht="12.75">
      <c r="A27" s="73"/>
      <c r="B27" s="57" t="str">
        <f>"Pertes de charge linéiques totales J en "&amp;IF(D2=1,"Pa :","mmCE :")</f>
        <v>Pertes de charge linéiques totales J en Pa :</v>
      </c>
      <c r="C27" s="58"/>
      <c r="D27" s="58"/>
      <c r="E27" s="58"/>
      <c r="F27" s="58"/>
      <c r="G27" s="17">
        <f>SUM(R4:R23)</f>
        <v>0</v>
      </c>
      <c r="H27" s="48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</row>
    <row r="28" spans="1:24" ht="12.75">
      <c r="A28" s="73"/>
      <c r="B28" s="81"/>
      <c r="C28" s="58"/>
      <c r="D28" s="58"/>
      <c r="E28" s="58"/>
      <c r="F28" s="58"/>
      <c r="G28" s="58"/>
      <c r="H28" s="48"/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</row>
    <row r="29" spans="1:24" ht="12.75">
      <c r="A29" s="73"/>
      <c r="B29" s="57" t="str">
        <f>"Perte de charge singulières totales Z en "&amp;IF(D2=1,"Pa :","mmCE :")</f>
        <v>Perte de charge singulières totales Z en Pa :</v>
      </c>
      <c r="C29" s="58"/>
      <c r="D29" s="58"/>
      <c r="E29" s="58"/>
      <c r="F29" s="58"/>
      <c r="G29" s="17">
        <f>SUM(W4:W23)</f>
        <v>0</v>
      </c>
      <c r="H29" s="48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</row>
    <row r="30" spans="1:24" ht="12.75">
      <c r="A30" s="73"/>
      <c r="B30" s="81"/>
      <c r="C30" s="58"/>
      <c r="D30" s="58"/>
      <c r="E30" s="58"/>
      <c r="F30" s="58"/>
      <c r="G30" s="58"/>
      <c r="H30" s="48"/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8"/>
    </row>
    <row r="31" spans="1:24" ht="12.75">
      <c r="A31" s="73"/>
      <c r="B31" s="82" t="s">
        <v>11</v>
      </c>
      <c r="C31" s="58"/>
      <c r="D31" s="58"/>
      <c r="E31" s="58"/>
      <c r="F31" s="58"/>
      <c r="G31" s="16">
        <f>IF(AND(G27&lt;&gt;0,G29&lt;&gt;0),ROUND((G27/G33)*100,1)&amp;" / "&amp;ROUND((G29/G33)*100,1)&amp;"%",0)</f>
        <v>0</v>
      </c>
      <c r="H31" s="48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</row>
    <row r="32" spans="1:24" ht="12.75">
      <c r="A32" s="73"/>
      <c r="B32" s="81"/>
      <c r="C32" s="58"/>
      <c r="D32" s="58"/>
      <c r="E32" s="58"/>
      <c r="F32" s="58"/>
      <c r="G32" s="58"/>
      <c r="H32" s="48"/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</row>
    <row r="33" spans="1:24" ht="15">
      <c r="A33" s="73"/>
      <c r="B33" s="78" t="str">
        <f>"Pertes de charge totales du circuit en "&amp;IF(D2=1,"Pa :","mmCE :")</f>
        <v>Pertes de charge totales du circuit en Pa :</v>
      </c>
      <c r="C33" s="58"/>
      <c r="D33" s="58"/>
      <c r="E33" s="58"/>
      <c r="F33" s="58"/>
      <c r="G33" s="22">
        <f>SUM(G27,G29)</f>
        <v>0</v>
      </c>
      <c r="H33" s="50">
        <f>IF($D$2=1,G33*0.01,G33*I25*9.81/100000)</f>
        <v>0</v>
      </c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</row>
    <row r="34" spans="1:24" ht="13.5" thickBot="1">
      <c r="A34" s="74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0"/>
    </row>
    <row r="36" ht="12.75">
      <c r="K36" s="3"/>
    </row>
    <row r="39" spans="2:17" ht="12.75">
      <c r="B39" s="3"/>
      <c r="Q39" s="51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9" ht="12.75" hidden="1">
      <c r="B49" s="1" t="s">
        <v>22</v>
      </c>
    </row>
    <row r="50" ht="12.75" hidden="1">
      <c r="B50" s="1" t="s">
        <v>21</v>
      </c>
    </row>
    <row r="51" ht="12.75" hidden="1">
      <c r="B51" s="1" t="s">
        <v>23</v>
      </c>
    </row>
    <row r="52" ht="12.75" hidden="1">
      <c r="B52" s="1" t="s">
        <v>24</v>
      </c>
    </row>
    <row r="54" spans="11:12" ht="12.75">
      <c r="K54" s="10"/>
      <c r="L54" s="9"/>
    </row>
    <row r="55" ht="12.75">
      <c r="K55" s="10"/>
    </row>
  </sheetData>
  <mergeCells count="18">
    <mergeCell ref="B33:F33"/>
    <mergeCell ref="B34:X34"/>
    <mergeCell ref="B28:G28"/>
    <mergeCell ref="B29:F29"/>
    <mergeCell ref="B30:G30"/>
    <mergeCell ref="B31:F31"/>
    <mergeCell ref="B32:G32"/>
    <mergeCell ref="I26:X33"/>
    <mergeCell ref="A1:X1"/>
    <mergeCell ref="G4:G23"/>
    <mergeCell ref="B26:G26"/>
    <mergeCell ref="B27:F27"/>
    <mergeCell ref="E24:G25"/>
    <mergeCell ref="B24:B25"/>
    <mergeCell ref="A24:A25"/>
    <mergeCell ref="M24:O25"/>
    <mergeCell ref="A26:A34"/>
    <mergeCell ref="E2:X2"/>
  </mergeCells>
  <dataValidations count="5">
    <dataValidation type="list" showInputMessage="1" showErrorMessage="1" errorTitle="Nature de la conduite." error="Vous devez faire un choix dans la liste uniquement !" sqref="F4:F23">
      <formula1>"Cuivre,Acier,Rétube"</formula1>
    </dataValidation>
    <dataValidation type="decimal" allowBlank="1" showInputMessage="1" showErrorMessage="1" errorTitle="Température moyenne de l'eau." error="Température comprise entre 20 et 90°C !" sqref="G4:G23">
      <formula1>20</formula1>
      <formula2>90</formula2>
    </dataValidation>
    <dataValidation allowBlank="1" showInputMessage="1" showErrorMessage="1" errorTitle="Température moyenne de l'eau." error="Chute minimale 1°C !&#10;Chute maximale T° Départ - 1 °C !" sqref="H4:H23"/>
    <dataValidation type="decimal" allowBlank="1" showInputMessage="1" showErrorMessage="1" error="Seulement numérique !" sqref="C4:D23">
      <formula1>0</formula1>
      <formula2>1E+30</formula2>
    </dataValidation>
    <dataValidation type="list" allowBlank="1" showInputMessage="1" showErrorMessage="1" errorTitle="Diamètres des conduites." error="Vous devez faire un choix dans la liste uniquement !" sqref="E4:E23">
      <formula1>"8,10,12,13,14,15,16,20,26,30,33,38,40,48"</formula1>
    </dataValidation>
  </dataValidations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 Hervé</dc:creator>
  <cp:keywords/>
  <dc:description/>
  <cp:lastModifiedBy>Hervé</cp:lastModifiedBy>
  <cp:lastPrinted>2006-08-19T13:06:07Z</cp:lastPrinted>
  <dcterms:created xsi:type="dcterms:W3CDTF">2003-03-16T17:30:59Z</dcterms:created>
  <dcterms:modified xsi:type="dcterms:W3CDTF">2008-01-01T11:04:42Z</dcterms:modified>
  <cp:category/>
  <cp:version/>
  <cp:contentType/>
  <cp:contentStatus/>
</cp:coreProperties>
</file>