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335" windowHeight="9525" activeTab="1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<sst xmlns="http://schemas.openxmlformats.org/spreadsheetml/2006/main" count="528" uniqueCount="396">
  <si>
    <t>tr/mn</t>
  </si>
  <si>
    <t>moteur</t>
  </si>
  <si>
    <t>couple</t>
  </si>
  <si>
    <t>puissance</t>
  </si>
  <si>
    <t>chevaux</t>
  </si>
  <si>
    <t>consomation</t>
  </si>
  <si>
    <t>litre/heure</t>
  </si>
  <si>
    <t>cons. Spéc.</t>
  </si>
  <si>
    <t>litre/ch.h</t>
  </si>
  <si>
    <t>gr/ch.h</t>
  </si>
  <si>
    <t>litre/kw.h</t>
  </si>
  <si>
    <t>gr/kw.h</t>
  </si>
  <si>
    <t>pantone</t>
  </si>
  <si>
    <t>sans pantone</t>
  </si>
  <si>
    <t>conso spécifique l/ch.h</t>
  </si>
  <si>
    <t>puissance en ch</t>
  </si>
  <si>
    <t>conso  l/ch.h</t>
  </si>
  <si>
    <t>conso en l/h (charge partielle)</t>
  </si>
  <si>
    <t>conso spécifique (charge partielle)</t>
  </si>
  <si>
    <t>conso en l/h à charge nulle</t>
  </si>
  <si>
    <t>x 1000</t>
  </si>
  <si>
    <t>N.m</t>
  </si>
  <si>
    <t>ch</t>
  </si>
  <si>
    <t>l/h</t>
  </si>
  <si>
    <t>l/ch.h</t>
  </si>
  <si>
    <t>∞</t>
  </si>
  <si>
    <t>(2000)</t>
  </si>
  <si>
    <t>(1800)</t>
  </si>
  <si>
    <t>(1600)</t>
  </si>
  <si>
    <t>ch 1800 pant</t>
  </si>
  <si>
    <t>ch 1600 pant</t>
  </si>
  <si>
    <t>ch 1800 sans pant</t>
  </si>
  <si>
    <t>c spé</t>
  </si>
  <si>
    <t>c spé x 1000</t>
  </si>
  <si>
    <t>pour pouvoir</t>
  </si>
  <si>
    <t>insérer dans</t>
  </si>
  <si>
    <t>le graphique</t>
  </si>
  <si>
    <t>en bleu : vitesse lu (au vol) sur le banc d'essai</t>
  </si>
  <si>
    <t>en vert : couple vu (au vol et divisé par 4) sur le banc d'essai (pdf 540 tr à 2160 tr/mn moteur)</t>
  </si>
  <si>
    <r>
      <t>en rouge : tout ce qui concerne l'essai à 1800 tr (env.)</t>
    </r>
    <r>
      <rPr>
        <b/>
        <sz val="10"/>
        <color indexed="10"/>
        <rFont val="Arial"/>
        <family val="2"/>
      </rPr>
      <t xml:space="preserve"> mais sans pantone</t>
    </r>
  </si>
  <si>
    <t>Pour la comparaison entre avec et sans pantone à 1800 tr/mn, l'écart visible est plus dû</t>
  </si>
  <si>
    <t>aux relevés pris "au vol" qu'à une différence de conso spécifique dû au système pantone</t>
  </si>
  <si>
    <t>(l'essai sans pantone est représenté par les petits carrés, dans le graphique)</t>
  </si>
  <si>
    <t>moyenne c spé avec pantone</t>
  </si>
  <si>
    <t>moyenne c spé sans pantone</t>
  </si>
  <si>
    <t>chevaux 2000 pant</t>
  </si>
  <si>
    <t>l/h (charges partielles)</t>
  </si>
  <si>
    <t>indiqués en bleu</t>
  </si>
  <si>
    <t>couples au charges partielles, aux régimes correspondants</t>
  </si>
  <si>
    <t>l/h sans pant</t>
  </si>
  <si>
    <t>couples aux charges partielles (sans pantone)</t>
  </si>
  <si>
    <t>vitesses lues au vol (sans pantone)</t>
  </si>
  <si>
    <t>=l/ch.h x 0,845</t>
  </si>
  <si>
    <t>←N.m (couple à charge partielle)</t>
  </si>
  <si>
    <t>conso spécifique (charge partielle) x 1000</t>
  </si>
  <si>
    <t>pour pouvoir insérer dans un graphique</t>
  </si>
  <si>
    <t>rectifié</t>
  </si>
  <si>
    <t>essai tracteur John Deere 4255 : couple, puissance, consommation (avec système "G" inspiré du pantone)</t>
  </si>
  <si>
    <t>une autre façon de voir la consommation</t>
  </si>
  <si>
    <t xml:space="preserve">   charge partielle</t>
  </si>
  <si>
    <t>pleine charge</t>
  </si>
  <si>
    <t>couple (moteur)</t>
  </si>
  <si>
    <t>env. 100 N.m</t>
  </si>
  <si>
    <t xml:space="preserve"> env.200 N.m</t>
  </si>
  <si>
    <t xml:space="preserve"> env.300 N.m</t>
  </si>
  <si>
    <t>env. 400 N.m</t>
  </si>
  <si>
    <t>env. 500 N.m</t>
  </si>
  <si>
    <t>conso</t>
  </si>
  <si>
    <t>gasoil</t>
  </si>
  <si>
    <t>rendement</t>
  </si>
  <si>
    <t>à vide</t>
  </si>
  <si>
    <t>consommation</t>
  </si>
  <si>
    <t>qui sert aux</t>
  </si>
  <si>
    <t>spécifique</t>
  </si>
  <si>
    <t>du gasoil :</t>
  </si>
  <si>
    <t>pdf débranchée →</t>
  </si>
  <si>
    <t>(perdus par</t>
  </si>
  <si>
    <t>supplémentaire</t>
  </si>
  <si>
    <t>conso spéc</t>
  </si>
  <si>
    <t>totale :</t>
  </si>
  <si>
    <t>(mécanique</t>
  </si>
  <si>
    <t>manque en vert</t>
  </si>
  <si>
    <t>pas encore pleine ch.→</t>
  </si>
  <si>
    <t>vitesse</t>
  </si>
  <si>
    <t>frottements</t>
  </si>
  <si>
    <t>à pleine</t>
  </si>
  <si>
    <t>qui produit</t>
  </si>
  <si>
    <t>du gasoil</t>
  </si>
  <si>
    <t>de perdus</t>
  </si>
  <si>
    <t>total</t>
  </si>
  <si>
    <t>utile avec</t>
  </si>
  <si>
    <t>(85% du c.)</t>
  </si>
  <si>
    <t>fournie</t>
  </si>
  <si>
    <t>et pertes</t>
  </si>
  <si>
    <t>charge</t>
  </si>
  <si>
    <t>du travail</t>
  </si>
  <si>
    <t>juste pour</t>
  </si>
  <si>
    <t>à crottins</t>
  </si>
  <si>
    <t>ses pertes</t>
  </si>
  <si>
    <t>320,45 N.m</t>
  </si>
  <si>
    <t>thermiques)</t>
  </si>
  <si>
    <t>utile</t>
  </si>
  <si>
    <t>faire "tourner"</t>
  </si>
  <si>
    <t>utiles</t>
  </si>
  <si>
    <t>utilisés</t>
  </si>
  <si>
    <t>plus chevaux</t>
  </si>
  <si>
    <t>?</t>
  </si>
  <si>
    <t>la mécanique</t>
  </si>
  <si>
    <t>courageux</t>
  </si>
  <si>
    <t>par rapprt</t>
  </si>
  <si>
    <t>(tr/mn)</t>
  </si>
  <si>
    <t>(ch)</t>
  </si>
  <si>
    <t>(litre)</t>
  </si>
  <si>
    <t>(l/ch.h)</t>
  </si>
  <si>
    <t>à la colonne 4</t>
  </si>
  <si>
    <t>+</t>
  </si>
  <si>
    <t>← vitesse et couple vus sur banc</t>
  </si>
  <si>
    <t>=</t>
  </si>
  <si>
    <t>← idem</t>
  </si>
  <si>
    <t xml:space="preserve">   ↓puissance maxi</t>
  </si>
  <si>
    <t>(tableau 3)</t>
  </si>
  <si>
    <t>←(sans vapeur : en rouge)</t>
  </si>
  <si>
    <t xml:space="preserve">C'est sans doute pas très scientifique, mais çà mets bien </t>
  </si>
  <si>
    <t>en évidence que l'utilisation à haut régime limite le rendement</t>
  </si>
  <si>
    <t>conso spéc. Mini ↑</t>
  </si>
  <si>
    <t>Globalement, suivant la charge on a :</t>
  </si>
  <si>
    <t>: 0%</t>
  </si>
  <si>
    <t>D'une certaine façon j'ai mis en évidence une consommation qui est</t>
  </si>
  <si>
    <t>: 0% à charge nulle, jusqu'à 65% maximum</t>
  </si>
  <si>
    <t>relative avec le travail utilisable (et sa propre cons spécifique), par</t>
  </si>
  <si>
    <t>: 0% à charge nulle, jusqu'à 72% maximum</t>
  </si>
  <si>
    <t>rapport à l'énergie servant seulement à faire tourner la mécanique</t>
  </si>
  <si>
    <t>: 0% à charge nulle, jusqu'à 76% maximum</t>
  </si>
  <si>
    <t>: 0% à charge nulle, jusqu'à 79% maximum</t>
  </si>
  <si>
    <t>et j'ai donc supposé qu'avec la ême conso spécifique, on a</t>
  </si>
  <si>
    <t>: 0% à charge nulle, jusqu'à 81% maximum</t>
  </si>
  <si>
    <t>"alimenté" un certain nombre de "chevaux à crottins"</t>
  </si>
  <si>
    <t>couple maxi →</t>
  </si>
  <si>
    <t>On apprécie mieux les ordres de grandeur du "gaspillage"</t>
  </si>
  <si>
    <t>qui pour un tracteur donné, sont toujours là, quelquesoit la puissance</t>
  </si>
  <si>
    <t>utilisée</t>
  </si>
  <si>
    <t>Pour rester scientifique il faut prendre les consommations spécifiques</t>
  </si>
  <si>
    <t>essai constructeur 4255 :144 ch à 2200 tr/mn</t>
  </si>
  <si>
    <t>essai Nébraska pdf : 125 ch à 2200tr (1003 tr/mn pdf) couple maxi : 521 à 1350 tr/mn</t>
  </si>
  <si>
    <t>couple maxi : 610 N.m à 1210 tr</t>
  </si>
  <si>
    <t>couple rég nom : 399 N.m</t>
  </si>
  <si>
    <t>réserve de c. :30,6%</t>
  </si>
  <si>
    <t>consommation en l/h à charge nulle (l/ch.h=infini)</t>
  </si>
  <si>
    <r>
      <t xml:space="preserve">conso spéc. à </t>
    </r>
    <r>
      <rPr>
        <b/>
        <sz val="10"/>
        <color indexed="17"/>
        <rFont val="Arial"/>
        <family val="0"/>
      </rPr>
      <t>85%</t>
    </r>
    <r>
      <rPr>
        <sz val="10"/>
        <color indexed="17"/>
        <rFont val="Arial"/>
        <family val="0"/>
      </rPr>
      <t xml:space="preserve"> du couple du régime nominal (2200) : </t>
    </r>
    <r>
      <rPr>
        <b/>
        <sz val="10"/>
        <color indexed="17"/>
        <rFont val="Arial"/>
        <family val="0"/>
      </rPr>
      <t>0,2315 l/ch.h (266 g/kw.h)</t>
    </r>
  </si>
  <si>
    <t>couple rég nominal constructeur : 468,65 N.m</t>
  </si>
  <si>
    <r>
      <t xml:space="preserve">ici, conso spéc à </t>
    </r>
    <r>
      <rPr>
        <b/>
        <sz val="10"/>
        <rFont val="Arial"/>
        <family val="2"/>
      </rPr>
      <t>100%</t>
    </r>
    <r>
      <rPr>
        <sz val="10"/>
        <rFont val="Arial"/>
        <family val="0"/>
      </rPr>
      <t xml:space="preserve"> du couple du régime nominal (2200) : 0,256 gr/ch.h</t>
    </r>
  </si>
  <si>
    <t>réserve de couple constructeur : 30,19%</t>
  </si>
  <si>
    <r>
      <t xml:space="preserve">ici, conso spéc à </t>
    </r>
    <r>
      <rPr>
        <b/>
        <sz val="10"/>
        <color indexed="17"/>
        <rFont val="Arial"/>
        <family val="0"/>
      </rPr>
      <t>81%%</t>
    </r>
    <r>
      <rPr>
        <sz val="10"/>
        <color indexed="17"/>
        <rFont val="Arial"/>
        <family val="0"/>
      </rPr>
      <t xml:space="preserve"> du couple du régime de </t>
    </r>
    <r>
      <rPr>
        <b/>
        <sz val="10"/>
        <color indexed="17"/>
        <rFont val="Arial"/>
        <family val="0"/>
      </rPr>
      <t>2000 tr/m</t>
    </r>
    <r>
      <rPr>
        <sz val="10"/>
        <color indexed="17"/>
        <rFont val="Arial"/>
        <family val="0"/>
      </rPr>
      <t xml:space="preserve"> :</t>
    </r>
    <r>
      <rPr>
        <b/>
        <sz val="10"/>
        <color indexed="17"/>
        <rFont val="Arial"/>
        <family val="0"/>
      </rPr>
      <t xml:space="preserve"> 0,232 gr/ch.h</t>
    </r>
  </si>
  <si>
    <t>ici réserve de couple : 74,27%</t>
  </si>
  <si>
    <t>(377 + 74,27% = 657)</t>
  </si>
  <si>
    <t>régimes à corriger</t>
  </si>
  <si>
    <t>(tableau 1)</t>
  </si>
  <si>
    <t>toutes les valeurs de la pleine charge doivent être corrigées avec les valeurs justes des régimes du tableau du banc d'essai</t>
  </si>
  <si>
    <t>Interprétation :</t>
  </si>
  <si>
    <t>Très bonne réserve de couple : 74,27%, mais</t>
  </si>
  <si>
    <t>le régime "nominal" (2200 tr/mn)constructeur ne correspond pas avec le régime de la puissance maximum (1800 tr/mn)</t>
  </si>
  <si>
    <r>
      <t xml:space="preserve">pour mémoire; quand la </t>
    </r>
    <r>
      <rPr>
        <b/>
        <sz val="10"/>
        <rFont val="Arial"/>
        <family val="2"/>
      </rPr>
      <t>puissance diminue avec la montée en régime</t>
    </r>
    <r>
      <rPr>
        <sz val="10"/>
        <rFont val="Arial"/>
        <family val="0"/>
      </rPr>
      <t>, le couple s'éffondre toujours beaucoup plus vite, puisqu'il est, dans le calcul</t>
    </r>
  </si>
  <si>
    <t>de la puissance, en relation directe avec le régime :[couple(N.m)xvitesse(tr/mn)] / 7160(constante) = puissance(ch)</t>
  </si>
  <si>
    <t>à chaque fois qu'on dépasse en régime, le régime de la puissance maximum (ici 1800 tr/mn), la consommation spécifique grimpe en flèche.</t>
  </si>
  <si>
    <r>
      <t xml:space="preserve">Ici on a </t>
    </r>
    <r>
      <rPr>
        <b/>
        <sz val="10"/>
        <rFont val="Arial"/>
        <family val="2"/>
      </rPr>
      <t>400 tr/mn</t>
    </r>
    <r>
      <rPr>
        <sz val="10"/>
        <rFont val="Arial"/>
        <family val="0"/>
      </rPr>
      <t xml:space="preserve"> de différence entre le régime de puissance maxi et le régime nominal </t>
    </r>
    <r>
      <rPr>
        <b/>
        <sz val="10"/>
        <rFont val="Arial"/>
        <family val="2"/>
      </rPr>
      <t>(cest beaucoup trop) = (gaspillage)</t>
    </r>
  </si>
  <si>
    <t>Bien sûr, les constructeurs vantent leurs réserves de couples (voir toutes les publicités) et les reprises</t>
  </si>
  <si>
    <t>Quelquefois même, ils indiquent la puissance nominale du tracteur, comme référence de sa puissance, et font réclame de sa réserve de puissance</t>
  </si>
  <si>
    <t>en plus de la réserve de couple</t>
  </si>
  <si>
    <t xml:space="preserve">Ici ce serait : tracteur vendu pour puissance 115,84 ch avec réserve de puissance de (143,55-115,84=27,71 ch) </t>
  </si>
  <si>
    <t>réserve de puissance : 23,92%</t>
  </si>
  <si>
    <t>Et cette puissance de 115,84 ch est encore disponible à 1260 tr/mn (qui dit mieux)</t>
  </si>
  <si>
    <t>(115,84+23,92% = 143,55 ch)</t>
  </si>
  <si>
    <t>Dans le cas où il aurait été annoncé pour 120 ch nominal, le chauffeur aurait dit : (il a la pêche ce tracteur)</t>
  </si>
  <si>
    <t>Et c'est certainement très pratique à l'utilisation (moins souvent rétrograder en côte par exemple)</t>
  </si>
  <si>
    <t>Avec les pratiques du temp passé : puissance nominale : 143,55 ch à la pdf (régime nominal 1800 au lieu de 2200)avec donc un couple au régime</t>
  </si>
  <si>
    <t>nominal (1800) de : 571 N.m ; rés de couple calculée dans ce cas seulement : 15,06%</t>
  </si>
  <si>
    <t xml:space="preserve">     (571 +  15,06% = 657 N.m)</t>
  </si>
  <si>
    <t>autre comparaison :</t>
  </si>
  <si>
    <t>suivant quelques relevés consommation à vide</t>
  </si>
  <si>
    <t>R = conso à vide / puissance maxi pdf au régime nominal = une idée de comparaison du gaspillage</t>
  </si>
  <si>
    <t>R = conso à vide / 125 pour le 4255 (j'aurait pu prendre 115,8, mais j'ai pris par rapport aux essais officiels)</t>
  </si>
  <si>
    <t>R = conso à vide / 101 pour le Fiat</t>
  </si>
  <si>
    <t>R = conso à vide / 58 pour le Zétor</t>
  </si>
  <si>
    <t>J D 143,55 ch pdf</t>
  </si>
  <si>
    <t>Fiat 101 ch pdf</t>
  </si>
  <si>
    <t>Zetor 58 ch pdf</t>
  </si>
  <si>
    <t>officiel</t>
  </si>
  <si>
    <t xml:space="preserve">l/h </t>
  </si>
  <si>
    <t>R</t>
  </si>
  <si>
    <t>régime maxi à vide</t>
  </si>
  <si>
    <t>régime nominal</t>
  </si>
  <si>
    <t>régime à puissance maxi</t>
  </si>
  <si>
    <t>régime ralenti</t>
  </si>
  <si>
    <t>(tableau 2)</t>
  </si>
  <si>
    <t>il manque quelques relevés, mais on voit nettement que quand les constructeurs s'amusent à prévoir du sur-régime par rapport à celui de la puissance</t>
  </si>
  <si>
    <t>maxi, il y a gaspillage (on voit là tout l'intérêt de connaître les courbes de puissance et couple de son tracteur pour l'utilisation au mieux économique)</t>
  </si>
  <si>
    <t>d'où l'intérêt des écoles à intégrer ces apréciations dans leurs cours</t>
  </si>
  <si>
    <t>Le nombre 0,085 du tableau 2 indique une valeur dépassant assez fort le gaspillage émis par les deux autres tracteurs</t>
  </si>
  <si>
    <t>Mais le Fiat n'a pas pu être pris à 2498 tr/mn (accélérateur manuel cassé et accélérateur au pied plafonnant à 2200)</t>
  </si>
  <si>
    <t>Est-ce que le Zétor aurait une puissance maxi à un régime moindre que son régime nominal de 2200 tr/mn, et un "R" correspondant de 0,045</t>
  </si>
  <si>
    <t>On est curieux n'est-ce-pas?</t>
  </si>
  <si>
    <t>Exemple de comparaison, si le 4255 avait été vendu pour 143,5 ch sortie pdf à 1800 tr/mn nominal</t>
  </si>
  <si>
    <t>réserve de puissance = 0 dans ce cas</t>
  </si>
  <si>
    <t>réserve de couple = 15,06% dans ce cas</t>
  </si>
  <si>
    <t>régime a vide : 2000 tr/mn supposé</t>
  </si>
  <si>
    <t>régime nominal = régime de puissance maxi pour le 4255 (dans cette supposition)</t>
  </si>
  <si>
    <t>(tableau 2 bis)</t>
  </si>
  <si>
    <t>Dans ce tableau, on voit que le rapport R, recalculé, donne un gaspillage "normal", si on peut dire</t>
  </si>
  <si>
    <t>Ci-dessus c'est une règle générale, mais pour en revenir à notre cas particulier :</t>
  </si>
  <si>
    <t>La réserve de couple étant beaucoup plus importante que les données constructeur, il vient à l'esprit de se demander si l'avance à l'injection n'est pas</t>
  </si>
  <si>
    <t>déréglée avec trop de retard (ce qui favorise le couple à bas régime, et pénalise fortement le couple à haut régime, sur les pompes n'ayant pas d'avance</t>
  </si>
  <si>
    <t>automatique commandée par la vitesse)</t>
  </si>
  <si>
    <t>Vérifier l'avance à l'injection par acquis de conscience, çà ne coûte pas grand-chose</t>
  </si>
  <si>
    <r>
      <t xml:space="preserve">Dans le réglage actuel de ce tracteur, l'utilisation optimum du gasoil, se situe vers </t>
    </r>
    <r>
      <rPr>
        <b/>
        <sz val="10"/>
        <rFont val="Arial"/>
        <family val="2"/>
      </rPr>
      <t>1650 tr/mn et à pleine charge</t>
    </r>
    <r>
      <rPr>
        <sz val="10"/>
        <rFont val="Arial"/>
        <family val="2"/>
      </rPr>
      <t xml:space="preserve"> (rapport à la consommation spécifique)</t>
    </r>
  </si>
  <si>
    <t>Les tracteurs actuels qui ont la possibilité de rouler à 40 km/h au régime de 1200 tr/mn se calent bien pour les économies de consommation</t>
  </si>
  <si>
    <t>Conclusion : les sur-régimes de puissance maxi ont toujours un mauvais rendement, il ne sont utiles dans la pratique que pour étendre le régime</t>
  </si>
  <si>
    <t>d'utilisation fonctionnel du tracteur</t>
  </si>
  <si>
    <t>Deuxième conclusion : ne jamais prendre un tracteur qui a son régime pdf à un sur-régime par rapport au régime de puissance maxi, à part si on a</t>
  </si>
  <si>
    <t>vraiment besoin d'une réserve de puissance, pouvant accepter une baisse du régime de travail</t>
  </si>
  <si>
    <t>C'est logique, non?</t>
  </si>
  <si>
    <r>
      <t xml:space="preserve">Une remarque assez interressante sur la conception des pompes d'injection concernant le </t>
    </r>
    <r>
      <rPr>
        <b/>
        <sz val="10"/>
        <rFont val="Arial"/>
        <family val="2"/>
      </rPr>
      <t>débit relatif à la vitesse de rotation</t>
    </r>
  </si>
  <si>
    <t>mm³/coup</t>
  </si>
  <si>
    <t>se trouve en régime de coupure (pleine charge diminuée par l'action du régulateur centrifuge de la vitesse de rotation)</t>
  </si>
  <si>
    <t xml:space="preserve"> (est-ce que 2200 tr/mn se trouve aussi un peu en régime de coupure, et fausse la puissance du régime nominal)</t>
  </si>
  <si>
    <t>(tableau 4)</t>
  </si>
  <si>
    <t>A 1250 tr/mn chaque coup de piston pompe d'injection donne 38,45% de plus de gasoil qu'à 2200 tr/mn</t>
  </si>
  <si>
    <r>
      <t>Ici, augmentation assez conséquente, (ce qu'on appelle "correcteur positif" dans les pompes d'injection)</t>
    </r>
    <r>
      <rPr>
        <b/>
        <sz val="10"/>
        <rFont val="Arial"/>
        <family val="2"/>
      </rPr>
      <t>(qui n'a rien à voir avec l'avance à l'injection)</t>
    </r>
  </si>
  <si>
    <t>ci-dessous : shéma de principe</t>
  </si>
  <si>
    <t>(peut-être différent sur le 4255, mais</t>
  </si>
  <si>
    <t>ayant les même effets)</t>
  </si>
  <si>
    <t>pression turbo</t>
  </si>
  <si>
    <t>renvoi</t>
  </si>
  <si>
    <t xml:space="preserve">plus de débit </t>
  </si>
  <si>
    <t>moins de débit</t>
  </si>
  <si>
    <t>crémaillère (pompe en ligne)</t>
  </si>
  <si>
    <t>point de "balance" du levier rouge sur la butée A, permettant de renvoyer le</t>
  </si>
  <si>
    <t>point E vers la droite, quand le point D se déplace vers la gauche, plus</t>
  </si>
  <si>
    <t>loin que arrivé au contact de la butée A, comprimant ainsi le ressort orange</t>
  </si>
  <si>
    <t>ressort servant à la limitation du débit à haut régime</t>
  </si>
  <si>
    <t>Pour que le correcteur positif ait une action "positive" à la baisse du régime</t>
  </si>
  <si>
    <t>(augmentation du débit/coups de piston, avec une baisse de régime),</t>
  </si>
  <si>
    <t xml:space="preserve"> le levier complet (rouge et bleu) doit toucher la butée A en premier</t>
  </si>
  <si>
    <t>Lorsqu'on est sur un moteur turbo, le correcteur négatif "C" ici présent</t>
  </si>
  <si>
    <t>mécaniquement, est remplacé par le correcteur négatif pneumatique F</t>
  </si>
  <si>
    <t>qui agit au moyen de la pression engendrée par le turbo</t>
  </si>
  <si>
    <t>Il agit alors quelque soit le régime, et limite le débit que lorsqu'il manque</t>
  </si>
  <si>
    <t>d'air pour assurer une bonne combustio au moteur</t>
  </si>
  <si>
    <t>sens de l'action de l'effort centrifuge sur le levier du régulateur</t>
  </si>
  <si>
    <t>qui commande la crémaillère</t>
  </si>
  <si>
    <t>levier du régulateur</t>
  </si>
  <si>
    <t>Supposons l'accélérateur en demande, donc toujours en pleine charge :</t>
  </si>
  <si>
    <t>Aux alentours du régime de couple maxi, l'ensemble (bleu et rouge) du levier régulateur vient en butée sur A. La force centrifuge du régulateur (à mi régime)</t>
  </si>
  <si>
    <r>
      <t xml:space="preserve">n'a pas la force de comprimer le </t>
    </r>
    <r>
      <rPr>
        <sz val="10"/>
        <color indexed="53"/>
        <rFont val="Arial"/>
        <family val="2"/>
      </rPr>
      <t>ressort</t>
    </r>
    <r>
      <rPr>
        <sz val="10"/>
        <rFont val="Arial"/>
        <family val="0"/>
      </rPr>
      <t xml:space="preserve"> qui maintient le levier rouge en applique sur le levier bleu</t>
    </r>
  </si>
  <si>
    <r>
      <t>Quand le moteur tourne plus vite, ce</t>
    </r>
    <r>
      <rPr>
        <sz val="10"/>
        <color indexed="53"/>
        <rFont val="Arial"/>
        <family val="2"/>
      </rPr>
      <t xml:space="preserve"> ressort</t>
    </r>
    <r>
      <rPr>
        <sz val="10"/>
        <rFont val="Arial"/>
        <family val="0"/>
      </rPr>
      <t xml:space="preserve"> se comprime (le levier bleu a plus de force qu'auparavant). Le levier rouge étant bloqué par la butée A</t>
    </r>
  </si>
  <si>
    <t>pivote en D, ce qui fait déplacer ce point D vers la gauche, et par la même occasion, le point E va vers la droite et repousse la crémaillère pour</t>
  </si>
  <si>
    <t>limiter le débit</t>
  </si>
  <si>
    <t>Sur certaines pompes, il y a même un correcteur négatif, qui n'a d'action que en dessous du régime de couple maxi :</t>
  </si>
  <si>
    <r>
      <t xml:space="preserve">A faible régime, le levier bleu a moins de force que le </t>
    </r>
    <r>
      <rPr>
        <b/>
        <sz val="10"/>
        <color indexed="11"/>
        <rFont val="Arial"/>
        <family val="2"/>
      </rPr>
      <t>ressort</t>
    </r>
    <r>
      <rPr>
        <sz val="10"/>
        <rFont val="Arial"/>
        <family val="2"/>
      </rPr>
      <t xml:space="preserve"> vert</t>
    </r>
    <r>
      <rPr>
        <sz val="10"/>
        <rFont val="Arial"/>
        <family val="0"/>
      </rPr>
      <t>, et c'est donc la butée C qui détermine le débit maxi de la pompe</t>
    </r>
  </si>
  <si>
    <t>pour éviter les émissions de fumée à bas régime</t>
  </si>
  <si>
    <t>le réglage du "correcteur positif", comme schématisé ci-dessus, (augmentation du couple à bas régime) se fait obligatoirement en agissant en</t>
  </si>
  <si>
    <t>même temps sur les butées A et B</t>
  </si>
  <si>
    <t>Car, si on ne modifie que la butée A, le débit à haut régime se modifie aussi (pivotement plus ou moindre du levier rouge en D)</t>
  </si>
  <si>
    <t>Le correcteur positif, dans notre cas, permet à la pompe de débiter presque la même chose à 1800 tr/mn qu'à 2200</t>
  </si>
  <si>
    <t>Dans ce cas, si on avait le même rendement mécanique, énergétique du gasoil, on devrait avoir la même puissance</t>
  </si>
  <si>
    <t>Ce qui me fait douter, ici, du bon calage de l'avance : permettant un meilleur rendement à 1650 tr qu'à 2200 bien prononcé</t>
  </si>
  <si>
    <t>Mais c'est peut-être étudié comme ça d'origine</t>
  </si>
  <si>
    <t>Autre remarque interressante, logiquement venu à partir de résultats d'essais officiels fait par Nebraska :</t>
  </si>
  <si>
    <t>Tous ces tracteurs ont la même cylindrée (7636 cm³ avec un turbocompresseur)(intercooler pour certains)</t>
  </si>
  <si>
    <r>
      <t xml:space="preserve">essai n° 1617 : J D 4055 (128 ch à 2200 tr/mn)(110 ch pdf Nébraska)conso au rég nom mais à 85% du couple de ce rég nom : </t>
    </r>
    <r>
      <rPr>
        <b/>
        <sz val="10"/>
        <rFont val="Arial"/>
        <family val="2"/>
      </rPr>
      <t>276 g/kw.h (0,24 L/ch.h)</t>
    </r>
  </si>
  <si>
    <r>
      <t xml:space="preserve">essai n° 1618 : J D 4255 (144 ch à 2200 tr/mn)(125 ch pdf Nébraska conso au rég nom mais à 85% du couple de ce rég nom : </t>
    </r>
    <r>
      <rPr>
        <b/>
        <sz val="10"/>
        <rFont val="Arial"/>
        <family val="2"/>
      </rPr>
      <t>266 g/kw.h (0,315 L/ch.h)</t>
    </r>
  </si>
  <si>
    <r>
      <t xml:space="preserve">essai n° 1619 : J D 4455 (160 ch à 2200 tr/mn)(144 ch pdf Nébraska) conso au rég nom mais à 85% du couple de ce rég nom : </t>
    </r>
    <r>
      <rPr>
        <b/>
        <sz val="10"/>
        <rFont val="Arial"/>
        <family val="2"/>
      </rPr>
      <t>258 g/kw.h (0,2245 L/ch.h)</t>
    </r>
  </si>
  <si>
    <r>
      <t xml:space="preserve">essai n° 1621 : J D 4755 (190 ch à 2200 tr/mn)(179 ch pdf Nébraska) conso au rég nom mais à 85% du couple de ce rég nom : </t>
    </r>
    <r>
      <rPr>
        <b/>
        <sz val="10"/>
        <rFont val="Arial"/>
        <family val="2"/>
      </rPr>
      <t>240 g/kw.h (0,209 L/ch.h)</t>
    </r>
  </si>
  <si>
    <r>
      <t xml:space="preserve">essai n° 1622 : J D 4955 (228 ch à 2200 tr/mn)(205 ch pdf Nébraska) conso au rég nom mais à 85% du couple de ce rég nom : </t>
    </r>
    <r>
      <rPr>
        <b/>
        <sz val="10"/>
        <rFont val="Arial"/>
        <family val="2"/>
      </rPr>
      <t>238 g/kw.h (0,207 L/ch.h)</t>
    </r>
  </si>
  <si>
    <t>Vu que le 4955 a le même moteur, on peut supposer qu'il consomme aussi 12 L/h à vide si on compare le gaspillage (0,083 tableau 2) en relation avec la</t>
  </si>
  <si>
    <t>puissance réelle (205 ch essai Nébraska) 12/205 = 0,058 : gaspillage comparable au Zétor</t>
  </si>
  <si>
    <t>D'où autre conclusion : un moteur exploité en dessous de ses capacités gaspille forcement plus (276 au lieu de 238 g/kw.h pour le même moteur)</t>
  </si>
  <si>
    <t>Mais si on ne tient pas compte de la consommation, les moteurs moins sollicités durent teut-être plus longtemps du point de vu mécanique</t>
  </si>
  <si>
    <t>Autre spéculation logique :</t>
  </si>
  <si>
    <t>Est-ce que l'avance automatique de l'injection (s'il y en a une, puisque c'est une pompe en ligne ; les pompes rotatives en ont maintenant toujours)</t>
  </si>
  <si>
    <t>est en panne?</t>
  </si>
  <si>
    <t>Est-ce que le réacteur du système pantone freine l'échappement au point de pénaliser la puissance à haut régime? (à bas régime, les gaz</t>
  </si>
  <si>
    <t>ont plus de "temps" pour s'écouler) :</t>
  </si>
  <si>
    <t>Si on pouvait confirmer que la pompe d'injection de notre essai est normalement réglée et en ordre on peut dire en attribuant les changements au pantone :</t>
  </si>
  <si>
    <t>qu'il a fait gagné du couple à bas régime par rapport à l'essai Nébraska</t>
  </si>
  <si>
    <r>
      <t xml:space="preserve">Qu'il a fait </t>
    </r>
    <r>
      <rPr>
        <b/>
        <sz val="10"/>
        <rFont val="Arial"/>
        <family val="2"/>
      </rPr>
      <t>perdre 9,16 ch</t>
    </r>
    <r>
      <rPr>
        <sz val="10"/>
        <rFont val="Arial"/>
        <family val="0"/>
      </rPr>
      <t xml:space="preserve"> à haut régime (2200 tr/mn) (et 28,16 ch moins les pertes boite de vitesses par rapport à l'essai constructeur) </t>
    </r>
  </si>
  <si>
    <t>Est-ce que c'est lui qui pénalise la consommation spécifique à haut régime par rapport à la moyenne des autres tracteurs?</t>
  </si>
  <si>
    <t>On n'a pas penser à prendre la consommation au régime et charge d'essai officiel (à 85% du couple du régime nominal)</t>
  </si>
  <si>
    <t>Dans notre cas : 377 x 85% = 320,45 N.m à 2200 tr/mn</t>
  </si>
  <si>
    <t>il est difficile de comparer des carottes et des navets, mais dans notre cas, on aurait du trouver une conso spécifique bien moindre, vu que le régime</t>
  </si>
  <si>
    <t>de mon repère est normalement plus favorable 2000 au lieu de 2200 (voir tableau 1)</t>
  </si>
  <si>
    <t>Dans notre exemple, la consommaton spécifique passe de 0,22  l/ch.h rég 2000 tr/mn à 0,259  l/ch.h rég 2200 tr/mn, soit : augmente de 17,73%</t>
  </si>
  <si>
    <t>avec l'augmentation du régime</t>
  </si>
  <si>
    <t>Le repère le plus approchant est : conso spé à 81% du couple de 2000 tr/mn : 0,232 l/ch.h</t>
  </si>
  <si>
    <t>Par règle de trois, ça ferait 0,2295 l/ch.h à 85% du couple à 2000 tr/mn</t>
  </si>
  <si>
    <r>
      <t xml:space="preserve">plus 17,73%, ça ferait </t>
    </r>
    <r>
      <rPr>
        <b/>
        <sz val="12"/>
        <rFont val="Arial"/>
        <family val="0"/>
      </rPr>
      <t xml:space="preserve">0,27 l/ch.h à 85% du couple maxi de 2200 tr/mn (à comparer à 0,2315 l/ch.h essai Nebraska) </t>
    </r>
  </si>
  <si>
    <t>Pour mes comparaisons, j'ai calculé avec 0,845 de poids spécifique pour le gasoil, mais on n'a pas vérifié ça</t>
  </si>
  <si>
    <t>Reste à connaître la qualité énergétique du gasoil utilisé dans les essais Nebraska</t>
  </si>
  <si>
    <r>
      <t>Mais apparemment, le pantone n'apporte rien comme économie</t>
    </r>
    <r>
      <rPr>
        <sz val="10"/>
        <rFont val="Arial"/>
        <family val="0"/>
      </rPr>
      <t>, bien qu'il peut subsister un doute sur la puissance à bas régime</t>
    </r>
  </si>
  <si>
    <t>Normalement le pantone est sensé compenser largement les modifications entraînant des restrictions de flux dans les conduites (venturi à l'admission,</t>
  </si>
  <si>
    <t>réacteur à l'échappement) par l'amélioration de la combustion</t>
  </si>
  <si>
    <t>Dans le cas présent, on a l'impression que l'on a pour l'instant que les inconvéniants du montage et que le pantone ne marche pas</t>
  </si>
  <si>
    <t>La bonne performance du couple à bas régime (657 par rapport à 521 N.m) peut éventuellement venir du pantone, mais plus probablement</t>
  </si>
  <si>
    <t>du réglage pompe d'injection (avance moindre, débit pleine charge plus élevé), pour confirmer,il faudrait les consommations spécifiques à tout les</t>
  </si>
  <si>
    <r>
      <t xml:space="preserve">régimes testés par le Nébraska </t>
    </r>
    <r>
      <rPr>
        <b/>
        <sz val="14"/>
        <rFont val="Arial"/>
        <family val="0"/>
      </rPr>
      <t>(il n'y a que les consommations spécifiques qui peuvent trancher)</t>
    </r>
  </si>
  <si>
    <t xml:space="preserve">Est-ce qu'il y a des pantones qui marchent réellement? (sans n'être qu'une impression non prouvée) </t>
  </si>
  <si>
    <t>Est-ce que, dans notre cas, le système a déjà marché?, mais malheureusement pas le jour de l'essai au banc (trop froid où que sais-je?)</t>
  </si>
  <si>
    <t>Il est à préciser le pourquoi du protocole d'essai à charge partielle :</t>
  </si>
  <si>
    <t>Quand on passe un tracteur au banc d'essai pour la puissance, la pompe d'injection débite toujours à son maximum de ce qu'elle peut à tel régime.</t>
  </si>
  <si>
    <t>(ce qu'on appelle la pleine charge), ceci n'autorise donc pas de réduction de consommation.</t>
  </si>
  <si>
    <t>C'est pour cela que les vendeurs de kit pantone disent qu'on ne peut rien voir au banc</t>
  </si>
  <si>
    <t>Mais dans ce cas, seul le calcul de la consommation spécifique (consommation par rapport au travail effectué) est intérressant.</t>
  </si>
  <si>
    <t>La consommation étant relative uniquement aux tr/mn moteur, l'amélioration, due au pantone, ne peut se voir alors que par la différence de la puissance</t>
  </si>
  <si>
    <t>obtenue (on l'a fait quand même vu qu'il parait que le pantone peut faire gagner 30% de puissance) (ou perdre 27,71 ch)</t>
  </si>
  <si>
    <r>
      <t xml:space="preserve">Les essais à charges partielles ont été faits pour mettre en évidences la réduction de consommation par rapport à une charge donnée, </t>
    </r>
    <r>
      <rPr>
        <b/>
        <sz val="10"/>
        <rFont val="Arial"/>
        <family val="2"/>
      </rPr>
      <t>la pompe</t>
    </r>
  </si>
  <si>
    <r>
      <t xml:space="preserve">d'injection n'étant plus "coincée en pleine charge" </t>
    </r>
    <r>
      <rPr>
        <sz val="10"/>
        <rFont val="Arial"/>
        <family val="0"/>
      </rPr>
      <t>peut réguler le débit en diminution lorsque le pantone fournit sa vapeur "craquée" améliorant</t>
    </r>
  </si>
  <si>
    <t>la combustion (sensée remplacer une partie du gasoil injecté par la même occasion)</t>
  </si>
  <si>
    <t>Le fait de travailler sur un banc permet de mesurer avec précision le travail effectué par rapport à l'énergie consommée apportée simultanément par le</t>
  </si>
  <si>
    <t>gasoil et le "bulleur,réacteur pantone" et d'établir une consommation spécifique gasoil (essai fait à 1800 tr/mn avec pantone et sans vapeur pantone</t>
  </si>
  <si>
    <t>pour comparaison)(tableau 1)</t>
  </si>
  <si>
    <t xml:space="preserve">Comme il parait que les vendeurs de kit disent qu'on ne peut pas mettre en évidence de différence parce qu'un pantone, ayant déjà été monté sur un </t>
  </si>
  <si>
    <t>tracteur, magnétise l'ensemble et le tracteur reste à consommer moins, même en arrêtant la vapeur de passer, (la magnétisation resterait présente</t>
  </si>
  <si>
    <t>pendant une dizaine de jours). Avec le banc on peut tout bien quantifier pour calculer la consommation spécifique.</t>
  </si>
  <si>
    <t>Ainsi on peut confirmer ces dires :</t>
  </si>
  <si>
    <t>Pour ce qui est de la différence de consommation avec ou sans pantone (dans notre exemple le même jour), ils ont tout-à-fait raison : on ne</t>
  </si>
  <si>
    <t>voit aucune différence : (à 1800 tr/mn dans le tableau 1)</t>
  </si>
  <si>
    <t>Remarque, il y aurait peut-être eu une différence en faveur du "sans pantone", si on avait enlevé toutes les restrictions des tubulures admission et</t>
  </si>
  <si>
    <t>échappement occasionné par le montage.</t>
  </si>
  <si>
    <t>Pour ce qui est des consommations spécifiques, qui nous donnent un travail par rapport à un volume de gasoil consommé, on a pu constater que</t>
  </si>
  <si>
    <t>la réduction de consommation n'est pas 50%, ni 30%, ni 20%, ni 5% (dans notre cas c'est tout-à-fait sûr)</t>
  </si>
  <si>
    <t>Et encore moins consommation divisée par 5,5 par rapport au travail effectué, comme annoncé sur un site internet</t>
  </si>
  <si>
    <t>Mais peut-être qu'il y a des pantones qui ont des résultats. En tout cas, si un tel montage peut marcher en principe, c'est certainement pas</t>
  </si>
  <si>
    <t>évident d'obtenir du résultat pour tout un chacun. Faut-il tout simplement de la chance?</t>
  </si>
  <si>
    <t>Faisait-il trop froid lors de l'essai?</t>
  </si>
  <si>
    <t>Les mauvaises langues diraient : c'est comme quand on veut voir des signes des esprits, assis autour d'une table, les mains posées dessus</t>
  </si>
  <si>
    <t>S'ils y a trop de gens qui n'y croient pas, c'est sûr que ça ne marche pas</t>
  </si>
  <si>
    <t>Et il y avait bien du monde autour du banc d'essai ce jour là.</t>
  </si>
  <si>
    <t>Cas particulier</t>
  </si>
  <si>
    <t>On entend parler de tracteurs pantoné, qui fumaient énormément avant d'avoir le système monté.</t>
  </si>
  <si>
    <t>Si on veut entrevoir une raison : il parait que le réacteur doit être très chaud pour fonctionner ("accrocher"), donc, au plus le moteur est chargé, au mieux</t>
  </si>
  <si>
    <t xml:space="preserve">on arrive à une température élevée en sortie échappement. Seulement, d'après les contrôles que j'ai pu faire, un moteur bien réglé d'avance (qui ne fume </t>
  </si>
  <si>
    <t>pas du tout en pleine charge) a toujours une température moindre à l'échappement qu'un moteur qui fume.</t>
  </si>
  <si>
    <t>Et, si les deux tracteurs ont des réglages au poil concernant, tarages injecteurs, avance à l'injection, réglage des soupapes etc., mais qu'il n'y a que le</t>
  </si>
  <si>
    <t xml:space="preserve">débit pleine charge pompe qui diffère, la différence de température est toujours bien perceptible (elle est même énorme) (essayez expérimentalement </t>
  </si>
  <si>
    <r>
      <t>sur le même moteur</t>
    </r>
    <r>
      <rPr>
        <sz val="10"/>
        <rFont val="Arial"/>
        <family val="0"/>
      </rPr>
      <t xml:space="preserve"> pour voir, vous serez sûr que les autres réglages sont identiques)</t>
    </r>
  </si>
  <si>
    <t>Conclusion : si pour amorcer ("accrocher") la réaction endothermique dans le réacteur, il faut atteindre une température très haute juste au départ,</t>
  </si>
  <si>
    <t>mais qui n'est jamais atteinte dans un moteur bien réglé débit pompe, c'est sans commentaires</t>
  </si>
  <si>
    <t>Quand tout le gasoil brûle bien avant sa sortie à l'échappement, son énergie (sa chaleur) est employée à bon escient pour produire de l'énergie</t>
  </si>
  <si>
    <t>mécanique, et la température en sortie est moindre</t>
  </si>
  <si>
    <t xml:space="preserve">Sur un moteur trop alimenté, la combustion est loin d'être finie (elle n'est même jamais finie, puisqu'il sort des imbrûlés), au lieu d'être complètement finie </t>
  </si>
  <si>
    <t>à mi-chemin de la course de détente du piston, qui fini alors sa détente en décompressant la chambre (ce qui baisse la température)</t>
  </si>
  <si>
    <t>Donc, quand il y a trop de gasoil, la combustion n'en finit pas, et ce qui "brûle" en fin de détente n'est plus employé en énergie mécanique, donc garde</t>
  </si>
  <si>
    <t>sa chaleur, il y a même certainement encore un peu de combustion à la sortie dans le collecteur d'échappement</t>
  </si>
  <si>
    <t>La différence de température peut faire quelques centaines de degrés (çà vaut le coup d'expérimenter vous pouvez me croire)</t>
  </si>
  <si>
    <t>Mais , me direz-vous, s'il faut gaspiller du gasoil pour faire fonctionner le réacteur, d'où vient l'économie?</t>
  </si>
  <si>
    <t>Je pense qu'il faut beaucoup de chaleur pour amorcer la réaction "endothermique" du réacteur, non disponible dans des tracteurs "pas trop chargés"</t>
  </si>
  <si>
    <t>(cas de notre tracteur 4255, dont le "même" moteur peut monter jusqu'à 228 ch)</t>
  </si>
  <si>
    <t>et ceci d'autant plus marqué en hiver, mais que sur des tracteurs "mal réglés et trop chargés en gasoil", cette température pourrait être atteinte et</t>
  </si>
  <si>
    <t>une fois la réaction endothermique enclenchée, le réacteur resterait accroché, même en diminuant la charge</t>
  </si>
  <si>
    <t>Il faut bien comprendre que la réaction "endothermique", comme son nom l'indique, fait descendre la température extrèmement bas à l'intérieur du</t>
  </si>
  <si>
    <t>réacteur,et une fois enclenchée, cette réaction se contente sans doute d'une moins grande température disponible à la sortie échappement du moteur</t>
  </si>
  <si>
    <t xml:space="preserve">Ou, encore mieux, la réaction endothermique étant enclenchée, le gaz produit améliore tellement le rendement qu'il fait maintenir la température des </t>
  </si>
  <si>
    <t>gaz d'échappements assez élevés en sortie moteur, ce qui maintient "l'accrochage" du réacteur</t>
  </si>
  <si>
    <t>Le rendement étant meilleur, tout en gardant la température d'accrochage du réacteur, la pompe d'injection peut alors réguler une diminution du débit</t>
  </si>
  <si>
    <t>le tracteur conservant toujours la même puissance (et même plus parait-il), et sans fumer, puisqu'il reçoit moins de carbone (présent que dans</t>
  </si>
  <si>
    <t>le gasoil</t>
  </si>
  <si>
    <t>On n'entend dire beaucoup aussi dans la nature que l'hiver ça marche moins bien (il n'y a pas de fumée sans feu)</t>
  </si>
  <si>
    <t>Si ma logique est vraie : jusqu'à combien peut-on diminuer la charge pour ne pas "décrocher" la réaction?</t>
  </si>
  <si>
    <t>Peut-être ne faut-il pas désespérer avec notre essai au banc : essayer d'autres réglages ou tout simplement attendre les jours meilleurs, qui sait?</t>
  </si>
  <si>
    <t>On entend dire aussi que si ça ne marche pas, il ne faut pas désespérer, la tige du réacteur va finir par se magnétiser un jour ou l'autre</t>
  </si>
  <si>
    <t>(peut-être un jour de canicule), et puis ça marchera.</t>
  </si>
  <si>
    <t>Tout ceci n'est que pure raisonnement logique (pour leur donner raison), mais n'est pour l'instant que pure spéculation de ma part</t>
  </si>
  <si>
    <t>(pour faire avancer les choses)</t>
  </si>
  <si>
    <t>Autres remarques pour affiner son jugement :</t>
  </si>
  <si>
    <t>j'ai entendu dire que le gasoil américain serait moins énergétique que l'européen</t>
  </si>
  <si>
    <t>Un tracteur développant 125 ch en Amérique, développerait 140 ch en Europe (je ne sais pas si c'est vraie)</t>
  </si>
  <si>
    <t>Les essais Nébraska cités plus hauts ne sont-ils pas faits en Amérique?</t>
  </si>
  <si>
    <t>(si c'est vrai, les performances de notre 4255 seraient moins bonnes avec du gasoil américain : moins de puissance et surtout plus forte</t>
  </si>
  <si>
    <t>consommation spécifique par rapport aux essais Nébraska (quelqu'un peut-il confirmer?)</t>
  </si>
  <si>
    <t>Notre cas de figure l'a peut-être avantagé par rapport aux essais Nébraska.</t>
  </si>
  <si>
    <t>Autre chose : on aurait dû enlever (à la fin des essais) l'appareil qui servait à mesurer la consommation, et refaire un essai de puissance pour</t>
  </si>
  <si>
    <t>voir l'influence éventuellement néfaste de cet appareil sur le débit d'injection, donc de la puissance</t>
  </si>
  <si>
    <t>(sur la consommation spécifique ça ne joue pas, puisque ça diminuerait la quantité de gasoil à l'avenant)</t>
  </si>
  <si>
    <t>Autre sujet de discution : tracteur fonctionnant avec mélange huile de colza/gasoil</t>
  </si>
  <si>
    <t>Le même jour, il a été essayé un tracteur avec mise en évidence une différence de puissance, suivant qu'il tournait au gasoil seul ou à l'huile de colza</t>
  </si>
  <si>
    <t>en mélange au gasoil (50/50)</t>
  </si>
  <si>
    <t>on a pu remarqué qu'il y a une différence d'une dizaine de ch en faveur du mélange</t>
  </si>
  <si>
    <t>Est-ce dû à l'huile qui serait plus énergétique, ou l'huile, rendant le mélange plus épais, étanchéifierait mieux les éventuelles fuites internes des pompes</t>
  </si>
  <si>
    <t>d'injections, les rendant plus performantes (légères augmentation du débit pleine charge)</t>
  </si>
  <si>
    <t>Pour en avoir le cœur net, il faudrait aussi contrôler les consommations spécifiques, éventuellement converties en poid/ch.h (densité de l'huile?)</t>
  </si>
  <si>
    <t>Les tracteurs ayant moins de différence de puissance ont peut-être une pompe d'injection avec des jeux (piston/cylindre) (glace à lumières des</t>
  </si>
  <si>
    <t>distributeurs rotatifs) plus serrés, ne pouvant plus</t>
  </si>
  <si>
    <t>rien gagner en débit par rapport au gasoil pur. Indice qui pourrait sous-entendre un grippage plus rapide dans ces genres de pompes, occasionnant</t>
  </si>
  <si>
    <t>les casses qu'on entend parler avec l'utilisation d'huile comme carburant. Repère à confimer donc.</t>
  </si>
  <si>
    <t xml:space="preserve">Il est à noter que si on veut mesurer la consommation sur des moteurs alimenté à l'huile, il faut que l'appareil de mesure de consommation </t>
  </si>
  <si>
    <r>
      <t>puisse</t>
    </r>
    <r>
      <rPr>
        <b/>
        <sz val="10"/>
        <rFont val="Arial"/>
        <family val="2"/>
      </rPr>
      <t xml:space="preserve"> impérativement accepter la consistance de l'huile </t>
    </r>
  </si>
  <si>
    <t>Ce n'est peut-être pas le cas du "Jean de Vienne"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</si>
</sst>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00\ _€"/>
  </numFmts>
  <fonts count="44">
    <font>
      <sz val="10"/>
      <name val="Arial"/>
      <family val="0"/>
    </font>
    <font>
      <sz val="8"/>
      <name val="Arial"/>
      <family val="0"/>
    </font>
    <font>
      <b/>
      <sz val="27"/>
      <name val="Arial"/>
      <family val="0"/>
    </font>
    <font>
      <b/>
      <sz val="25.5"/>
      <name val="Arial"/>
      <family val="0"/>
    </font>
    <font>
      <sz val="25.5"/>
      <name val="Arial"/>
      <family val="0"/>
    </font>
    <font>
      <sz val="22.5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8"/>
      <name val="Arial"/>
      <family val="0"/>
    </font>
    <font>
      <sz val="22.25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  <font>
      <b/>
      <sz val="17.5"/>
      <name val="Arial"/>
      <family val="2"/>
    </font>
    <font>
      <b/>
      <sz val="14.25"/>
      <name val="Arial"/>
      <family val="2"/>
    </font>
    <font>
      <b/>
      <sz val="18"/>
      <name val="Arial"/>
      <family val="0"/>
    </font>
    <font>
      <sz val="10"/>
      <color indexed="57"/>
      <name val="Arial"/>
      <family val="0"/>
    </font>
    <font>
      <b/>
      <sz val="10"/>
      <color indexed="57"/>
      <name val="Arial"/>
      <family val="0"/>
    </font>
    <font>
      <i/>
      <sz val="10"/>
      <color indexed="57"/>
      <name val="Arial"/>
      <family val="2"/>
    </font>
    <font>
      <i/>
      <sz val="10"/>
      <name val="Arial"/>
      <family val="2"/>
    </font>
    <font>
      <sz val="10"/>
      <color indexed="17"/>
      <name val="Arial"/>
      <family val="0"/>
    </font>
    <font>
      <sz val="10"/>
      <color indexed="48"/>
      <name val="Arial"/>
      <family val="0"/>
    </font>
    <font>
      <i/>
      <sz val="10"/>
      <color indexed="10"/>
      <name val="Arial"/>
      <family val="2"/>
    </font>
    <font>
      <b/>
      <sz val="19.75"/>
      <name val="Arial"/>
      <family val="2"/>
    </font>
    <font>
      <sz val="10"/>
      <color indexed="52"/>
      <name val="Arial"/>
      <family val="0"/>
    </font>
    <font>
      <b/>
      <sz val="11.5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1"/>
      <name val="Arial"/>
      <family val="0"/>
    </font>
    <font>
      <i/>
      <sz val="10"/>
      <color indexed="11"/>
      <name val="Arial"/>
      <family val="2"/>
    </font>
    <font>
      <i/>
      <sz val="9"/>
      <color indexed="48"/>
      <name val="Arial"/>
      <family val="2"/>
    </font>
    <font>
      <i/>
      <sz val="9"/>
      <color indexed="10"/>
      <name val="Arial"/>
      <family val="2"/>
    </font>
    <font>
      <i/>
      <sz val="10"/>
      <color indexed="48"/>
      <name val="Arial"/>
      <family val="2"/>
    </font>
    <font>
      <b/>
      <sz val="10"/>
      <color indexed="17"/>
      <name val="Arial"/>
      <family val="0"/>
    </font>
    <font>
      <sz val="9"/>
      <name val="Arial"/>
      <family val="2"/>
    </font>
    <font>
      <sz val="10"/>
      <color indexed="53"/>
      <name val="Arial"/>
      <family val="2"/>
    </font>
    <font>
      <b/>
      <sz val="10"/>
      <color indexed="11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8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left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left"/>
    </xf>
    <xf numFmtId="0" fontId="0" fillId="0" borderId="2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 horizontal="left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165" fontId="0" fillId="0" borderId="31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32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20" fillId="0" borderId="0" xfId="0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9" fillId="0" borderId="0" xfId="0" applyNumberFormat="1" applyFont="1" applyAlignment="1">
      <alignment horizontal="center"/>
    </xf>
    <xf numFmtId="0" fontId="13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49" fontId="22" fillId="0" borderId="0" xfId="0" applyNumberFormat="1" applyFont="1" applyBorder="1" applyAlignment="1">
      <alignment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165" fontId="0" fillId="0" borderId="35" xfId="0" applyNumberFormat="1" applyBorder="1" applyAlignment="1">
      <alignment horizontal="left"/>
    </xf>
    <xf numFmtId="2" fontId="0" fillId="0" borderId="36" xfId="0" applyNumberFormat="1" applyBorder="1" applyAlignment="1">
      <alignment horizontal="center"/>
    </xf>
    <xf numFmtId="165" fontId="9" fillId="0" borderId="35" xfId="0" applyNumberFormat="1" applyFont="1" applyBorder="1" applyAlignment="1">
      <alignment horizontal="left"/>
    </xf>
    <xf numFmtId="165" fontId="0" fillId="0" borderId="10" xfId="0" applyNumberFormat="1" applyBorder="1" applyAlignment="1">
      <alignment horizontal="center"/>
    </xf>
    <xf numFmtId="165" fontId="0" fillId="0" borderId="37" xfId="0" applyNumberFormat="1" applyBorder="1" applyAlignment="1">
      <alignment horizontal="center"/>
    </xf>
    <xf numFmtId="165" fontId="0" fillId="0" borderId="38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65" fontId="9" fillId="0" borderId="37" xfId="0" applyNumberFormat="1" applyFont="1" applyBorder="1" applyAlignment="1">
      <alignment horizontal="center"/>
    </xf>
    <xf numFmtId="165" fontId="9" fillId="0" borderId="38" xfId="0" applyNumberFormat="1" applyFont="1" applyBorder="1" applyAlignment="1">
      <alignment horizontal="center"/>
    </xf>
    <xf numFmtId="165" fontId="9" fillId="0" borderId="8" xfId="0" applyNumberFormat="1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49" fontId="22" fillId="0" borderId="39" xfId="0" applyNumberFormat="1" applyFont="1" applyBorder="1" applyAlignment="1">
      <alignment/>
    </xf>
    <xf numFmtId="0" fontId="20" fillId="0" borderId="15" xfId="0" applyFont="1" applyBorder="1" applyAlignment="1">
      <alignment horizontal="center"/>
    </xf>
    <xf numFmtId="49" fontId="22" fillId="0" borderId="40" xfId="0" applyNumberFormat="1" applyFont="1" applyBorder="1" applyAlignment="1">
      <alignment/>
    </xf>
    <xf numFmtId="0" fontId="20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4" fontId="20" fillId="0" borderId="30" xfId="0" applyNumberFormat="1" applyFont="1" applyBorder="1" applyAlignment="1">
      <alignment horizontal="center"/>
    </xf>
    <xf numFmtId="164" fontId="21" fillId="0" borderId="30" xfId="0" applyNumberFormat="1" applyFont="1" applyBorder="1" applyAlignment="1">
      <alignment horizontal="center"/>
    </xf>
    <xf numFmtId="165" fontId="20" fillId="0" borderId="30" xfId="0" applyNumberFormat="1" applyFont="1" applyBorder="1" applyAlignment="1">
      <alignment horizontal="center"/>
    </xf>
    <xf numFmtId="49" fontId="22" fillId="0" borderId="41" xfId="0" applyNumberFormat="1" applyFont="1" applyBorder="1" applyAlignment="1">
      <alignment/>
    </xf>
    <xf numFmtId="164" fontId="6" fillId="0" borderId="26" xfId="0" applyNumberFormat="1" applyFont="1" applyBorder="1" applyAlignment="1">
      <alignment horizontal="center"/>
    </xf>
    <xf numFmtId="164" fontId="6" fillId="0" borderId="27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164" fontId="6" fillId="0" borderId="29" xfId="0" applyNumberFormat="1" applyFont="1" applyBorder="1" applyAlignment="1">
      <alignment horizontal="center"/>
    </xf>
    <xf numFmtId="164" fontId="6" fillId="0" borderId="30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164" fontId="23" fillId="0" borderId="27" xfId="0" applyNumberFormat="1" applyFont="1" applyBorder="1" applyAlignment="1">
      <alignment horizontal="left"/>
    </xf>
    <xf numFmtId="49" fontId="22" fillId="0" borderId="27" xfId="0" applyNumberFormat="1" applyFont="1" applyBorder="1" applyAlignment="1">
      <alignment/>
    </xf>
    <xf numFmtId="0" fontId="0" fillId="0" borderId="39" xfId="0" applyBorder="1" applyAlignment="1">
      <alignment/>
    </xf>
    <xf numFmtId="2" fontId="24" fillId="0" borderId="0" xfId="0" applyNumberFormat="1" applyFont="1" applyBorder="1" applyAlignment="1">
      <alignment horizontal="left"/>
    </xf>
    <xf numFmtId="0" fontId="0" fillId="0" borderId="40" xfId="0" applyBorder="1" applyAlignment="1">
      <alignment/>
    </xf>
    <xf numFmtId="49" fontId="22" fillId="0" borderId="30" xfId="0" applyNumberFormat="1" applyFont="1" applyBorder="1" applyAlignment="1">
      <alignment/>
    </xf>
    <xf numFmtId="2" fontId="25" fillId="0" borderId="30" xfId="0" applyNumberFormat="1" applyFont="1" applyBorder="1" applyAlignment="1">
      <alignment horizontal="left"/>
    </xf>
    <xf numFmtId="0" fontId="0" fillId="0" borderId="41" xfId="0" applyBorder="1" applyAlignment="1">
      <alignment/>
    </xf>
    <xf numFmtId="164" fontId="23" fillId="0" borderId="38" xfId="0" applyNumberFormat="1" applyFont="1" applyBorder="1" applyAlignment="1">
      <alignment horizontal="left"/>
    </xf>
    <xf numFmtId="0" fontId="9" fillId="0" borderId="26" xfId="0" applyNumberFormat="1" applyFont="1" applyBorder="1" applyAlignment="1">
      <alignment horizontal="center"/>
    </xf>
    <xf numFmtId="0" fontId="10" fillId="0" borderId="27" xfId="0" applyNumberFormat="1" applyFont="1" applyBorder="1" applyAlignment="1">
      <alignment horizontal="center"/>
    </xf>
    <xf numFmtId="0" fontId="15" fillId="0" borderId="27" xfId="0" applyNumberFormat="1" applyFont="1" applyBorder="1" applyAlignment="1">
      <alignment horizontal="center"/>
    </xf>
    <xf numFmtId="0" fontId="9" fillId="0" borderId="15" xfId="0" applyNumberFormat="1" applyFont="1" applyFill="1" applyBorder="1" applyAlignment="1">
      <alignment horizontal="center"/>
    </xf>
    <xf numFmtId="0" fontId="9" fillId="0" borderId="29" xfId="0" applyNumberFormat="1" applyFont="1" applyFill="1" applyBorder="1" applyAlignment="1">
      <alignment horizontal="center"/>
    </xf>
    <xf numFmtId="0" fontId="10" fillId="0" borderId="30" xfId="0" applyNumberFormat="1" applyFont="1" applyFill="1" applyBorder="1" applyAlignment="1">
      <alignment horizontal="center"/>
    </xf>
    <xf numFmtId="0" fontId="9" fillId="0" borderId="30" xfId="0" applyNumberFormat="1" applyFont="1" applyBorder="1" applyAlignment="1">
      <alignment horizontal="center"/>
    </xf>
    <xf numFmtId="49" fontId="26" fillId="0" borderId="27" xfId="0" applyNumberFormat="1" applyFont="1" applyBorder="1" applyAlignment="1">
      <alignment/>
    </xf>
    <xf numFmtId="0" fontId="9" fillId="0" borderId="27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left"/>
    </xf>
    <xf numFmtId="49" fontId="26" fillId="0" borderId="30" xfId="0" applyNumberFormat="1" applyFont="1" applyBorder="1" applyAlignment="1">
      <alignment/>
    </xf>
    <xf numFmtId="0" fontId="9" fillId="0" borderId="30" xfId="0" applyNumberFormat="1" applyFont="1" applyBorder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Alignment="1">
      <alignment horizontal="left"/>
    </xf>
    <xf numFmtId="0" fontId="0" fillId="0" borderId="39" xfId="0" applyBorder="1" applyAlignment="1">
      <alignment horizontal="center"/>
    </xf>
    <xf numFmtId="2" fontId="0" fillId="0" borderId="24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42" xfId="0" applyNumberFormat="1" applyBorder="1" applyAlignment="1">
      <alignment horizontal="left"/>
    </xf>
    <xf numFmtId="2" fontId="0" fillId="0" borderId="28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0" fontId="28" fillId="0" borderId="35" xfId="0" applyNumberFormat="1" applyFont="1" applyBorder="1" applyAlignment="1">
      <alignment horizontal="center"/>
    </xf>
    <xf numFmtId="0" fontId="28" fillId="0" borderId="36" xfId="0" applyNumberFormat="1" applyFont="1" applyBorder="1" applyAlignment="1">
      <alignment horizontal="center"/>
    </xf>
    <xf numFmtId="0" fontId="28" fillId="0" borderId="33" xfId="0" applyNumberFormat="1" applyFont="1" applyBorder="1" applyAlignment="1">
      <alignment horizontal="center"/>
    </xf>
    <xf numFmtId="0" fontId="28" fillId="0" borderId="24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0" fontId="28" fillId="0" borderId="44" xfId="0" applyNumberFormat="1" applyFont="1" applyBorder="1" applyAlignment="1">
      <alignment horizontal="center"/>
    </xf>
    <xf numFmtId="2" fontId="28" fillId="0" borderId="45" xfId="0" applyNumberFormat="1" applyFont="1" applyBorder="1" applyAlignment="1">
      <alignment horizontal="left"/>
    </xf>
    <xf numFmtId="2" fontId="28" fillId="0" borderId="27" xfId="0" applyNumberFormat="1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2" fontId="28" fillId="0" borderId="46" xfId="0" applyNumberFormat="1" applyFont="1" applyBorder="1" applyAlignment="1">
      <alignment horizontal="center"/>
    </xf>
    <xf numFmtId="2" fontId="28" fillId="0" borderId="25" xfId="0" applyNumberFormat="1" applyFont="1" applyBorder="1" applyAlignment="1">
      <alignment horizontal="left"/>
    </xf>
    <xf numFmtId="2" fontId="28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2" fontId="28" fillId="0" borderId="34" xfId="0" applyNumberFormat="1" applyFont="1" applyBorder="1" applyAlignment="1">
      <alignment horizontal="center"/>
    </xf>
    <xf numFmtId="0" fontId="31" fillId="0" borderId="0" xfId="0" applyFont="1" applyAlignment="1">
      <alignment horizontal="center"/>
    </xf>
    <xf numFmtId="2" fontId="0" fillId="0" borderId="35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44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5" fontId="0" fillId="0" borderId="44" xfId="0" applyNumberForma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0" fillId="0" borderId="38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2" fontId="0" fillId="0" borderId="55" xfId="0" applyNumberFormat="1" applyBorder="1" applyAlignment="1">
      <alignment horizontal="center"/>
    </xf>
    <xf numFmtId="0" fontId="0" fillId="0" borderId="55" xfId="0" applyBorder="1" applyAlignment="1">
      <alignment horizontal="center"/>
    </xf>
    <xf numFmtId="0" fontId="33" fillId="0" borderId="54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3" fillId="0" borderId="55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6" fillId="0" borderId="54" xfId="0" applyNumberFormat="1" applyFon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164" fontId="6" fillId="0" borderId="37" xfId="0" applyNumberFormat="1" applyFont="1" applyBorder="1" applyAlignment="1">
      <alignment horizontal="center"/>
    </xf>
    <xf numFmtId="165" fontId="0" fillId="0" borderId="56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0" fillId="0" borderId="58" xfId="0" applyNumberFormat="1" applyBorder="1" applyAlignment="1">
      <alignment horizontal="center"/>
    </xf>
    <xf numFmtId="0" fontId="0" fillId="0" borderId="59" xfId="0" applyBorder="1" applyAlignment="1">
      <alignment/>
    </xf>
    <xf numFmtId="0" fontId="0" fillId="0" borderId="59" xfId="0" applyBorder="1" applyAlignment="1">
      <alignment horizontal="center"/>
    </xf>
    <xf numFmtId="0" fontId="0" fillId="0" borderId="58" xfId="0" applyBorder="1" applyAlignment="1">
      <alignment/>
    </xf>
    <xf numFmtId="0" fontId="7" fillId="0" borderId="59" xfId="0" applyFont="1" applyBorder="1" applyAlignment="1">
      <alignment horizontal="center"/>
    </xf>
    <xf numFmtId="9" fontId="6" fillId="0" borderId="60" xfId="20" applyFont="1" applyBorder="1" applyAlignment="1">
      <alignment horizontal="center"/>
    </xf>
    <xf numFmtId="0" fontId="35" fillId="0" borderId="36" xfId="0" applyNumberFormat="1" applyFont="1" applyBorder="1" applyAlignment="1">
      <alignment horizontal="center"/>
    </xf>
    <xf numFmtId="0" fontId="35" fillId="0" borderId="48" xfId="0" applyNumberFormat="1" applyFont="1" applyBorder="1" applyAlignment="1">
      <alignment horizontal="center"/>
    </xf>
    <xf numFmtId="0" fontId="35" fillId="0" borderId="35" xfId="0" applyNumberFormat="1" applyFont="1" applyBorder="1" applyAlignment="1">
      <alignment horizontal="center"/>
    </xf>
    <xf numFmtId="0" fontId="35" fillId="0" borderId="33" xfId="0" applyNumberFormat="1" applyFont="1" applyBorder="1" applyAlignment="1">
      <alignment horizontal="center"/>
    </xf>
    <xf numFmtId="0" fontId="25" fillId="0" borderId="58" xfId="0" applyNumberFormat="1" applyFont="1" applyBorder="1" applyAlignment="1">
      <alignment/>
    </xf>
    <xf numFmtId="0" fontId="25" fillId="0" borderId="54" xfId="0" applyNumberFormat="1" applyFont="1" applyBorder="1" applyAlignment="1">
      <alignment/>
    </xf>
    <xf numFmtId="0" fontId="25" fillId="0" borderId="38" xfId="0" applyNumberFormat="1" applyFont="1" applyBorder="1" applyAlignment="1">
      <alignment/>
    </xf>
    <xf numFmtId="0" fontId="25" fillId="0" borderId="55" xfId="0" applyNumberFormat="1" applyFont="1" applyBorder="1" applyAlignment="1">
      <alignment/>
    </xf>
    <xf numFmtId="0" fontId="0" fillId="0" borderId="32" xfId="0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9" fontId="6" fillId="0" borderId="53" xfId="2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6" fillId="0" borderId="61" xfId="0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5" fontId="0" fillId="0" borderId="62" xfId="0" applyNumberFormat="1" applyBorder="1" applyAlignment="1">
      <alignment horizontal="center"/>
    </xf>
    <xf numFmtId="2" fontId="0" fillId="0" borderId="63" xfId="0" applyNumberFormat="1" applyFon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165" fontId="0" fillId="0" borderId="5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5" fontId="0" fillId="0" borderId="55" xfId="0" applyNumberFormat="1" applyBorder="1" applyAlignment="1">
      <alignment horizontal="center"/>
    </xf>
    <xf numFmtId="0" fontId="0" fillId="0" borderId="37" xfId="0" applyBorder="1" applyAlignment="1">
      <alignment/>
    </xf>
    <xf numFmtId="0" fontId="0" fillId="0" borderId="64" xfId="0" applyBorder="1" applyAlignment="1">
      <alignment horizontal="center"/>
    </xf>
    <xf numFmtId="0" fontId="6" fillId="0" borderId="64" xfId="0" applyFont="1" applyBorder="1" applyAlignment="1">
      <alignment horizontal="center"/>
    </xf>
    <xf numFmtId="4" fontId="0" fillId="0" borderId="65" xfId="0" applyNumberFormat="1" applyBorder="1" applyAlignment="1">
      <alignment horizontal="center"/>
    </xf>
    <xf numFmtId="164" fontId="6" fillId="0" borderId="66" xfId="0" applyNumberFormat="1" applyFont="1" applyBorder="1" applyAlignment="1">
      <alignment horizontal="center"/>
    </xf>
    <xf numFmtId="165" fontId="0" fillId="0" borderId="65" xfId="0" applyNumberFormat="1" applyBorder="1" applyAlignment="1">
      <alignment horizontal="center"/>
    </xf>
    <xf numFmtId="2" fontId="0" fillId="0" borderId="67" xfId="0" applyNumberFormat="1" applyBorder="1" applyAlignment="1">
      <alignment horizontal="center"/>
    </xf>
    <xf numFmtId="165" fontId="0" fillId="0" borderId="68" xfId="0" applyNumberForma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35" fillId="0" borderId="0" xfId="0" applyNumberFormat="1" applyFont="1" applyBorder="1" applyAlignment="1">
      <alignment horizontal="center"/>
    </xf>
    <xf numFmtId="0" fontId="35" fillId="0" borderId="13" xfId="0" applyNumberFormat="1" applyFont="1" applyBorder="1" applyAlignment="1">
      <alignment horizontal="center"/>
    </xf>
    <xf numFmtId="0" fontId="35" fillId="0" borderId="24" xfId="0" applyNumberFormat="1" applyFont="1" applyBorder="1" applyAlignment="1">
      <alignment horizontal="center"/>
    </xf>
    <xf numFmtId="0" fontId="35" fillId="0" borderId="44" xfId="0" applyNumberFormat="1" applyFont="1" applyBorder="1" applyAlignment="1">
      <alignment horizontal="center"/>
    </xf>
    <xf numFmtId="0" fontId="25" fillId="0" borderId="15" xfId="0" applyNumberFormat="1" applyFont="1" applyBorder="1" applyAlignment="1">
      <alignment/>
    </xf>
    <xf numFmtId="0" fontId="6" fillId="0" borderId="26" xfId="0" applyNumberFormat="1" applyFont="1" applyBorder="1" applyAlignment="1">
      <alignment/>
    </xf>
    <xf numFmtId="0" fontId="6" fillId="0" borderId="38" xfId="0" applyNumberFormat="1" applyFont="1" applyBorder="1" applyAlignment="1">
      <alignment/>
    </xf>
    <xf numFmtId="0" fontId="6" fillId="0" borderId="55" xfId="0" applyNumberFormat="1" applyFont="1" applyBorder="1" applyAlignment="1">
      <alignment/>
    </xf>
    <xf numFmtId="2" fontId="0" fillId="0" borderId="9" xfId="0" applyNumberFormat="1" applyBorder="1" applyAlignment="1">
      <alignment horizontal="center"/>
    </xf>
    <xf numFmtId="165" fontId="6" fillId="0" borderId="62" xfId="0" applyNumberFormat="1" applyFont="1" applyBorder="1" applyAlignment="1">
      <alignment horizontal="center"/>
    </xf>
    <xf numFmtId="2" fontId="0" fillId="0" borderId="63" xfId="0" applyNumberFormat="1" applyBorder="1" applyAlignment="1">
      <alignment horizontal="center"/>
    </xf>
    <xf numFmtId="165" fontId="6" fillId="0" borderId="6" xfId="0" applyNumberFormat="1" applyFont="1" applyBorder="1" applyAlignment="1">
      <alignment horizontal="center"/>
    </xf>
    <xf numFmtId="0" fontId="6" fillId="0" borderId="69" xfId="0" applyNumberFormat="1" applyFont="1" applyBorder="1" applyAlignment="1">
      <alignment horizontal="center"/>
    </xf>
    <xf numFmtId="2" fontId="0" fillId="0" borderId="56" xfId="0" applyNumberFormat="1" applyBorder="1" applyAlignment="1">
      <alignment horizontal="center"/>
    </xf>
    <xf numFmtId="164" fontId="6" fillId="0" borderId="41" xfId="0" applyNumberFormat="1" applyFont="1" applyBorder="1" applyAlignment="1">
      <alignment horizontal="center"/>
    </xf>
    <xf numFmtId="165" fontId="0" fillId="0" borderId="70" xfId="0" applyNumberFormat="1" applyBorder="1" applyAlignment="1">
      <alignment horizontal="center"/>
    </xf>
    <xf numFmtId="0" fontId="0" fillId="0" borderId="63" xfId="0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5" fontId="6" fillId="0" borderId="5" xfId="0" applyNumberFormat="1" applyFont="1" applyBorder="1" applyAlignment="1">
      <alignment horizontal="center"/>
    </xf>
    <xf numFmtId="2" fontId="0" fillId="0" borderId="62" xfId="0" applyNumberFormat="1" applyBorder="1" applyAlignment="1">
      <alignment horizontal="center"/>
    </xf>
    <xf numFmtId="0" fontId="0" fillId="0" borderId="10" xfId="0" applyBorder="1" applyAlignment="1">
      <alignment/>
    </xf>
    <xf numFmtId="2" fontId="0" fillId="0" borderId="71" xfId="0" applyNumberFormat="1" applyBorder="1" applyAlignment="1">
      <alignment horizontal="center"/>
    </xf>
    <xf numFmtId="2" fontId="0" fillId="0" borderId="57" xfId="0" applyNumberFormat="1" applyBorder="1" applyAlignment="1">
      <alignment horizontal="center"/>
    </xf>
    <xf numFmtId="0" fontId="0" fillId="0" borderId="71" xfId="0" applyBorder="1" applyAlignment="1">
      <alignment horizontal="center"/>
    </xf>
    <xf numFmtId="9" fontId="6" fillId="0" borderId="61" xfId="20" applyFont="1" applyBorder="1" applyAlignment="1">
      <alignment horizontal="center"/>
    </xf>
    <xf numFmtId="0" fontId="36" fillId="0" borderId="41" xfId="0" applyNumberFormat="1" applyFont="1" applyBorder="1" applyAlignment="1">
      <alignment horizontal="center"/>
    </xf>
    <xf numFmtId="0" fontId="36" fillId="0" borderId="17" xfId="0" applyNumberFormat="1" applyFont="1" applyBorder="1" applyAlignment="1">
      <alignment horizontal="center"/>
    </xf>
    <xf numFmtId="0" fontId="36" fillId="0" borderId="29" xfId="0" applyNumberFormat="1" applyFont="1" applyBorder="1" applyAlignment="1">
      <alignment horizontal="center"/>
    </xf>
    <xf numFmtId="0" fontId="36" fillId="0" borderId="72" xfId="0" applyNumberFormat="1" applyFont="1" applyBorder="1" applyAlignment="1">
      <alignment horizontal="center"/>
    </xf>
    <xf numFmtId="0" fontId="36" fillId="0" borderId="73" xfId="0" applyNumberFormat="1" applyFont="1" applyBorder="1" applyAlignment="1">
      <alignment horizontal="center"/>
    </xf>
    <xf numFmtId="0" fontId="9" fillId="0" borderId="29" xfId="0" applyNumberFormat="1" applyFont="1" applyBorder="1" applyAlignment="1">
      <alignment/>
    </xf>
    <xf numFmtId="0" fontId="9" fillId="0" borderId="69" xfId="0" applyNumberFormat="1" applyFont="1" applyBorder="1" applyAlignment="1">
      <alignment/>
    </xf>
    <xf numFmtId="0" fontId="9" fillId="0" borderId="30" xfId="0" applyNumberFormat="1" applyFont="1" applyBorder="1" applyAlignment="1">
      <alignment/>
    </xf>
    <xf numFmtId="0" fontId="9" fillId="0" borderId="70" xfId="0" applyNumberFormat="1" applyFont="1" applyBorder="1" applyAlignment="1">
      <alignment/>
    </xf>
    <xf numFmtId="0" fontId="26" fillId="0" borderId="74" xfId="0" applyFont="1" applyFill="1" applyBorder="1" applyAlignment="1">
      <alignment horizontal="center"/>
    </xf>
    <xf numFmtId="0" fontId="8" fillId="0" borderId="74" xfId="0" applyFont="1" applyFill="1" applyBorder="1" applyAlignment="1">
      <alignment horizontal="center"/>
    </xf>
    <xf numFmtId="2" fontId="9" fillId="0" borderId="75" xfId="0" applyNumberFormat="1" applyFont="1" applyBorder="1" applyAlignment="1">
      <alignment horizontal="center"/>
    </xf>
    <xf numFmtId="164" fontId="8" fillId="0" borderId="76" xfId="0" applyNumberFormat="1" applyFont="1" applyFill="1" applyBorder="1" applyAlignment="1">
      <alignment horizontal="center"/>
    </xf>
    <xf numFmtId="165" fontId="8" fillId="0" borderId="75" xfId="0" applyNumberFormat="1" applyFont="1" applyFill="1" applyBorder="1" applyAlignment="1">
      <alignment horizontal="center"/>
    </xf>
    <xf numFmtId="2" fontId="9" fillId="0" borderId="77" xfId="0" applyNumberFormat="1" applyFont="1" applyBorder="1" applyAlignment="1">
      <alignment horizontal="center"/>
    </xf>
    <xf numFmtId="165" fontId="8" fillId="0" borderId="78" xfId="0" applyNumberFormat="1" applyFont="1" applyFill="1" applyBorder="1" applyAlignment="1">
      <alignment horizontal="center"/>
    </xf>
    <xf numFmtId="0" fontId="8" fillId="0" borderId="76" xfId="0" applyFont="1" applyFill="1" applyBorder="1" applyAlignment="1">
      <alignment horizontal="center"/>
    </xf>
    <xf numFmtId="0" fontId="8" fillId="0" borderId="54" xfId="0" applyNumberFormat="1" applyFont="1" applyFill="1" applyBorder="1" applyAlignment="1">
      <alignment/>
    </xf>
    <xf numFmtId="0" fontId="8" fillId="0" borderId="38" xfId="0" applyNumberFormat="1" applyFont="1" applyFill="1" applyBorder="1" applyAlignment="1">
      <alignment/>
    </xf>
    <xf numFmtId="0" fontId="8" fillId="0" borderId="55" xfId="0" applyNumberFormat="1" applyFont="1" applyFill="1" applyBorder="1" applyAlignment="1">
      <alignment/>
    </xf>
    <xf numFmtId="4" fontId="26" fillId="0" borderId="24" xfId="0" applyNumberFormat="1" applyFont="1" applyBorder="1" applyAlignment="1">
      <alignment horizontal="left"/>
    </xf>
    <xf numFmtId="4" fontId="37" fillId="0" borderId="24" xfId="0" applyNumberFormat="1" applyFont="1" applyBorder="1" applyAlignment="1">
      <alignment horizontal="left"/>
    </xf>
    <xf numFmtId="0" fontId="25" fillId="0" borderId="69" xfId="0" applyNumberFormat="1" applyFont="1" applyBorder="1" applyAlignment="1">
      <alignment/>
    </xf>
    <xf numFmtId="0" fontId="6" fillId="0" borderId="37" xfId="0" applyNumberFormat="1" applyFont="1" applyBorder="1" applyAlignment="1">
      <alignment/>
    </xf>
    <xf numFmtId="0" fontId="6" fillId="0" borderId="70" xfId="0" applyNumberFormat="1" applyFont="1" applyBorder="1" applyAlignment="1">
      <alignment/>
    </xf>
    <xf numFmtId="0" fontId="0" fillId="0" borderId="79" xfId="0" applyBorder="1" applyAlignment="1">
      <alignment horizontal="center"/>
    </xf>
    <xf numFmtId="0" fontId="0" fillId="0" borderId="63" xfId="0" applyNumberFormat="1" applyFon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0" fillId="0" borderId="0" xfId="0" applyAlignment="1">
      <alignment/>
    </xf>
    <xf numFmtId="2" fontId="0" fillId="0" borderId="55" xfId="0" applyNumberFormat="1" applyBorder="1" applyAlignment="1">
      <alignment horizontal="left"/>
    </xf>
    <xf numFmtId="2" fontId="0" fillId="0" borderId="54" xfId="0" applyNumberFormat="1" applyBorder="1" applyAlignment="1">
      <alignment horizontal="left"/>
    </xf>
    <xf numFmtId="2" fontId="0" fillId="0" borderId="13" xfId="0" applyNumberFormat="1" applyBorder="1" applyAlignment="1">
      <alignment horizontal="left"/>
    </xf>
    <xf numFmtId="2" fontId="0" fillId="0" borderId="44" xfId="0" applyNumberFormat="1" applyBorder="1" applyAlignment="1">
      <alignment horizontal="left"/>
    </xf>
    <xf numFmtId="2" fontId="0" fillId="0" borderId="24" xfId="0" applyNumberFormat="1" applyBorder="1" applyAlignment="1">
      <alignment horizontal="left"/>
    </xf>
    <xf numFmtId="0" fontId="6" fillId="0" borderId="56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54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2" fontId="0" fillId="0" borderId="25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165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/>
    </xf>
    <xf numFmtId="0" fontId="0" fillId="0" borderId="36" xfId="0" applyNumberForma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4" xfId="0" applyBorder="1" applyAlignment="1">
      <alignment/>
    </xf>
    <xf numFmtId="0" fontId="6" fillId="0" borderId="23" xfId="0" applyFont="1" applyBorder="1" applyAlignment="1">
      <alignment horizontal="left"/>
    </xf>
    <xf numFmtId="0" fontId="0" fillId="0" borderId="18" xfId="0" applyBorder="1" applyAlignment="1">
      <alignment horizontal="left"/>
    </xf>
    <xf numFmtId="2" fontId="0" fillId="0" borderId="80" xfId="0" applyNumberForma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0" fontId="24" fillId="0" borderId="25" xfId="0" applyFont="1" applyBorder="1" applyAlignment="1">
      <alignment horizontal="lef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0" borderId="25" xfId="0" applyFill="1" applyBorder="1" applyAlignment="1">
      <alignment horizontal="left"/>
    </xf>
    <xf numFmtId="0" fontId="24" fillId="0" borderId="24" xfId="0" applyFont="1" applyBorder="1" applyAlignment="1">
      <alignment/>
    </xf>
    <xf numFmtId="0" fontId="0" fillId="0" borderId="25" xfId="0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42" xfId="0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0" xfId="0" applyBorder="1" applyAlignment="1">
      <alignment/>
    </xf>
    <xf numFmtId="0" fontId="39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left"/>
    </xf>
    <xf numFmtId="4" fontId="0" fillId="0" borderId="0" xfId="0" applyNumberForma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4" fontId="26" fillId="0" borderId="0" xfId="0" applyNumberFormat="1" applyFont="1" applyBorder="1" applyAlignment="1">
      <alignment horizontal="left"/>
    </xf>
    <xf numFmtId="4" fontId="37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1" fillId="0" borderId="0" xfId="0" applyFont="1" applyAlignment="1">
      <alignment/>
    </xf>
    <xf numFmtId="0" fontId="16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2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2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43" fillId="0" borderId="0" xfId="15" applyAlignment="1">
      <alignment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85" xfId="0" applyBorder="1" applyAlignment="1">
      <alignment horizontal="center"/>
    </xf>
    <xf numFmtId="0" fontId="1" fillId="0" borderId="2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2" fontId="32" fillId="0" borderId="18" xfId="0" applyNumberFormat="1" applyFont="1" applyBorder="1" applyAlignment="1">
      <alignment horizontal="center"/>
    </xf>
    <xf numFmtId="2" fontId="32" fillId="0" borderId="80" xfId="0" applyNumberFormat="1" applyFont="1" applyBorder="1" applyAlignment="1">
      <alignment horizontal="center"/>
    </xf>
    <xf numFmtId="2" fontId="32" fillId="0" borderId="52" xfId="0" applyNumberFormat="1" applyFont="1" applyBorder="1" applyAlignment="1">
      <alignment horizontal="center"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right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consommation à différentes charges, avec et sans pantone</a:t>
            </a:r>
          </a:p>
        </c:rich>
      </c:tx>
      <c:layout>
        <c:manualLayout>
          <c:xMode val="factor"/>
          <c:yMode val="factor"/>
          <c:x val="0.001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7475"/>
          <c:w val="0.75625"/>
          <c:h val="0.88375"/>
        </c:manualLayout>
      </c:layout>
      <c:scatterChart>
        <c:scatterStyle val="line"/>
        <c:varyColors val="0"/>
        <c:ser>
          <c:idx val="0"/>
          <c:order val="0"/>
          <c:tx>
            <c:v>pleine charge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Feuil1!$A$50:$A$69</c:f>
              <c:numCache/>
            </c:numRef>
          </c:xVal>
          <c:yVal>
            <c:numRef>
              <c:f>Feuil1!$E$50:$E$69</c:f>
              <c:numCache/>
            </c:numRef>
          </c:yVal>
          <c:smooth val="0"/>
        </c:ser>
        <c:ser>
          <c:idx val="1"/>
          <c:order val="1"/>
          <c:tx>
            <c:v>500 N.m env.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Feuil1!$G$78:$G$80</c:f>
              <c:numCache/>
            </c:numRef>
          </c:xVal>
          <c:yVal>
            <c:numRef>
              <c:f>Feuil1!$G$75:$G$77</c:f>
              <c:numCache/>
            </c:numRef>
          </c:yVal>
          <c:smooth val="0"/>
        </c:ser>
        <c:ser>
          <c:idx val="2"/>
          <c:order val="2"/>
          <c:tx>
            <c:v>400 N.m env.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Feuil1!$F$78:$F$80</c:f>
              <c:numCache/>
            </c:numRef>
          </c:xVal>
          <c:yVal>
            <c:numRef>
              <c:f>Feuil1!$F$75:$F$77</c:f>
              <c:numCache/>
            </c:numRef>
          </c:yVal>
          <c:smooth val="0"/>
        </c:ser>
        <c:ser>
          <c:idx val="3"/>
          <c:order val="3"/>
          <c:tx>
            <c:v>300 N.m env.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Feuil1!$E$78:$E$80</c:f>
              <c:numCache/>
            </c:numRef>
          </c:xVal>
          <c:yVal>
            <c:numRef>
              <c:f>Feuil1!$E$75:$E$77</c:f>
              <c:numCache/>
            </c:numRef>
          </c:yVal>
          <c:smooth val="0"/>
        </c:ser>
        <c:ser>
          <c:idx val="4"/>
          <c:order val="4"/>
          <c:tx>
            <c:v>200 N.m env.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Feuil1!$D$78:$D$80</c:f>
              <c:numCache/>
            </c:numRef>
          </c:xVal>
          <c:yVal>
            <c:numRef>
              <c:f>Feuil1!$D$75:$D$77</c:f>
              <c:numCache/>
            </c:numRef>
          </c:yVal>
          <c:smooth val="0"/>
        </c:ser>
        <c:ser>
          <c:idx val="5"/>
          <c:order val="5"/>
          <c:tx>
            <c:v>100 N.m env.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Feuil1!$C$78:$C$80</c:f>
              <c:numCache/>
            </c:numRef>
          </c:xVal>
          <c:yVal>
            <c:numRef>
              <c:f>Feuil1!$C$75:$C$77</c:f>
              <c:numCache/>
            </c:numRef>
          </c:yVal>
          <c:smooth val="0"/>
        </c:ser>
        <c:ser>
          <c:idx val="6"/>
          <c:order val="6"/>
          <c:tx>
            <c:v>charge nulle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Feuil1!$A$73:$A$82</c:f>
              <c:numCache/>
            </c:numRef>
          </c:xVal>
          <c:yVal>
            <c:numRef>
              <c:f>Feuil1!$B$73:$B$82</c:f>
              <c:numCache/>
            </c:numRef>
          </c:yVal>
          <c:smooth val="0"/>
        </c:ser>
        <c:ser>
          <c:idx val="7"/>
          <c:order val="7"/>
          <c:tx>
            <c:v>494 N.m sans p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CC0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Feuil1!$G$82</c:f>
              <c:numCache/>
            </c:numRef>
          </c:xVal>
          <c:yVal>
            <c:numRef>
              <c:f>Feuil1!$G$81</c:f>
              <c:numCache/>
            </c:numRef>
          </c:yVal>
          <c:smooth val="0"/>
        </c:ser>
        <c:ser>
          <c:idx val="8"/>
          <c:order val="8"/>
          <c:tx>
            <c:v>392.5 N.m sans p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Feuil1!$F$82</c:f>
              <c:numCache/>
            </c:numRef>
          </c:xVal>
          <c:yVal>
            <c:numRef>
              <c:f>Feuil1!$F$81</c:f>
              <c:numCache/>
            </c:numRef>
          </c:yVal>
          <c:smooth val="0"/>
        </c:ser>
        <c:ser>
          <c:idx val="9"/>
          <c:order val="9"/>
          <c:tx>
            <c:v>296.5 sans pant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C99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Feuil1!$E$82</c:f>
              <c:numCache/>
            </c:numRef>
          </c:xVal>
          <c:yVal>
            <c:numRef>
              <c:f>Feuil1!$E$81</c:f>
              <c:numCache/>
            </c:numRef>
          </c:yVal>
          <c:smooth val="0"/>
        </c:ser>
        <c:ser>
          <c:idx val="10"/>
          <c:order val="10"/>
          <c:tx>
            <c:v>205 N.m sans p.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Feuil1!$D$82</c:f>
              <c:numCache/>
            </c:numRef>
          </c:xVal>
          <c:yVal>
            <c:numRef>
              <c:f>Feuil1!$D$81</c:f>
              <c:numCache/>
            </c:numRef>
          </c:yVal>
          <c:smooth val="0"/>
        </c:ser>
        <c:ser>
          <c:idx val="11"/>
          <c:order val="11"/>
          <c:tx>
            <c:v>102 N.m sans p.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Feuil1!$C$82</c:f>
              <c:numCache/>
            </c:numRef>
          </c:xVal>
          <c:yVal>
            <c:numRef>
              <c:f>Feuil1!$C$81</c:f>
              <c:numCache/>
            </c:numRef>
          </c:yVal>
          <c:smooth val="0"/>
        </c:ser>
        <c:axId val="11491799"/>
        <c:axId val="36317328"/>
      </c:scatterChart>
      <c:valAx>
        <c:axId val="11491799"/>
        <c:scaling>
          <c:orientation val="minMax"/>
          <c:max val="240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vitesse en tr/mn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6317328"/>
        <c:crosses val="autoZero"/>
        <c:crossBetween val="midCat"/>
        <c:dispUnits/>
        <c:majorUnit val="200"/>
        <c:minorUnit val="100"/>
      </c:valAx>
      <c:valAx>
        <c:axId val="36317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1" i="0" u="none" baseline="0">
                    <a:latin typeface="Arial"/>
                    <a:ea typeface="Arial"/>
                    <a:cs typeface="Arial"/>
                  </a:rPr>
                  <a:t>cons. en l/h</a:t>
                </a:r>
              </a:p>
            </c:rich>
          </c:tx>
          <c:layout>
            <c:manualLayout>
              <c:xMode val="factor"/>
              <c:yMode val="factor"/>
              <c:x val="-0.0195"/>
              <c:y val="0.0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114917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"/>
          <c:y val="0.261"/>
          <c:w val="0.211"/>
          <c:h val="0.6397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consommation à différentes charges, avec pantone + ch et daN.m et sans p.</a:t>
            </a:r>
          </a:p>
        </c:rich>
      </c:tx>
      <c:layout>
        <c:manualLayout>
          <c:xMode val="factor"/>
          <c:yMode val="factor"/>
          <c:x val="0.00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0385"/>
          <c:w val="0.77225"/>
          <c:h val="0.91375"/>
        </c:manualLayout>
      </c:layout>
      <c:scatterChart>
        <c:scatterStyle val="line"/>
        <c:varyColors val="0"/>
        <c:ser>
          <c:idx val="0"/>
          <c:order val="0"/>
          <c:tx>
            <c:v>pleine charge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Feuil1!$A$50:$A$69</c:f>
              <c:numCache/>
            </c:numRef>
          </c:xVal>
          <c:yVal>
            <c:numRef>
              <c:f>Feuil1!$E$50:$E$69</c:f>
              <c:numCache/>
            </c:numRef>
          </c:yVal>
          <c:smooth val="0"/>
        </c:ser>
        <c:ser>
          <c:idx val="1"/>
          <c:order val="1"/>
          <c:tx>
            <c:v>519;494;505 N.m 1591;1803;1990 tr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Feuil1!$G$78:$G$80</c:f>
              <c:numCache/>
            </c:numRef>
          </c:xVal>
          <c:yVal>
            <c:numRef>
              <c:f>Feuil1!$G$75:$G$77</c:f>
              <c:numCache/>
            </c:numRef>
          </c:yVal>
          <c:smooth val="0"/>
        </c:ser>
        <c:ser>
          <c:idx val="2"/>
          <c:order val="2"/>
          <c:tx>
            <c:v>410;401;403,5N.m 1604;1783;1614 tr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Feuil1!$F$78:$F$80</c:f>
              <c:numCache/>
            </c:numRef>
          </c:xVal>
          <c:yVal>
            <c:numRef>
              <c:f>Feuil1!$F$75:$F$77</c:f>
              <c:numCache/>
            </c:numRef>
          </c:yVal>
          <c:smooth val="0"/>
        </c:ser>
        <c:ser>
          <c:idx val="3"/>
          <c:order val="3"/>
          <c:tx>
            <c:v>313;310;300 N.m 1612;1800;1990 tr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Feuil1!$E$78:$E$80</c:f>
              <c:numCache/>
            </c:numRef>
          </c:xVal>
          <c:yVal>
            <c:numRef>
              <c:f>Feuil1!$E$75:$E$77</c:f>
              <c:numCache/>
            </c:numRef>
          </c:yVal>
          <c:smooth val="0"/>
        </c:ser>
        <c:ser>
          <c:idx val="4"/>
          <c:order val="4"/>
          <c:tx>
            <c:v>190;205;197,5N.m 1600;1803;1998 tr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Feuil1!$D$78:$D$80</c:f>
              <c:numCache/>
            </c:numRef>
          </c:xVal>
          <c:yVal>
            <c:numRef>
              <c:f>Feuil1!$D$75:$D$77</c:f>
              <c:numCache/>
            </c:numRef>
          </c:yVal>
          <c:smooth val="0"/>
        </c:ser>
        <c:ser>
          <c:idx val="5"/>
          <c:order val="5"/>
          <c:tx>
            <c:v>101;107;101 N.m 1595;1800;1998 tr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Feuil1!$C$78:$C$80</c:f>
              <c:numCache/>
            </c:numRef>
          </c:xVal>
          <c:yVal>
            <c:numRef>
              <c:f>Feuil1!$C$75:$C$77</c:f>
              <c:numCache/>
            </c:numRef>
          </c:yVal>
          <c:smooth val="0"/>
        </c:ser>
        <c:ser>
          <c:idx val="6"/>
          <c:order val="6"/>
          <c:tx>
            <c:v>charge nulle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Feuil1!$A$73:$A$82</c:f>
              <c:numCache/>
            </c:numRef>
          </c:xVal>
          <c:yVal>
            <c:numRef>
              <c:f>Feuil1!$B$73:$B$82</c:f>
              <c:numCache/>
            </c:numRef>
          </c:yVal>
          <c:smooth val="0"/>
        </c:ser>
        <c:ser>
          <c:idx val="7"/>
          <c:order val="7"/>
          <c:tx>
            <c:v>497 N.m sans p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CC0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Feuil1!$G$82</c:f>
              <c:numCache/>
            </c:numRef>
          </c:xVal>
          <c:yVal>
            <c:numRef>
              <c:f>Feuil1!$G$81</c:f>
              <c:numCache/>
            </c:numRef>
          </c:yVal>
          <c:smooth val="0"/>
        </c:ser>
        <c:ser>
          <c:idx val="8"/>
          <c:order val="8"/>
          <c:tx>
            <c:v>392.5 N.m sans p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Feuil1!$F$82</c:f>
              <c:numCache/>
            </c:numRef>
          </c:xVal>
          <c:yVal>
            <c:numRef>
              <c:f>Feuil1!$F$81</c:f>
              <c:numCache/>
            </c:numRef>
          </c:yVal>
          <c:smooth val="0"/>
        </c:ser>
        <c:ser>
          <c:idx val="9"/>
          <c:order val="9"/>
          <c:tx>
            <c:v>296.5 sans pant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C99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Feuil1!$E$82</c:f>
              <c:numCache/>
            </c:numRef>
          </c:xVal>
          <c:yVal>
            <c:numRef>
              <c:f>Feuil1!$E$81</c:f>
              <c:numCache/>
            </c:numRef>
          </c:yVal>
          <c:smooth val="0"/>
        </c:ser>
        <c:ser>
          <c:idx val="10"/>
          <c:order val="10"/>
          <c:tx>
            <c:v>205 N.m sans p.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Feuil1!$D$82</c:f>
              <c:numCache/>
            </c:numRef>
          </c:xVal>
          <c:yVal>
            <c:numRef>
              <c:f>Feuil1!$D$81</c:f>
              <c:numCache/>
            </c:numRef>
          </c:yVal>
          <c:smooth val="0"/>
        </c:ser>
        <c:ser>
          <c:idx val="11"/>
          <c:order val="11"/>
          <c:tx>
            <c:v>102 N.m sans p.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Feuil1!$C$82</c:f>
              <c:numCache/>
            </c:numRef>
          </c:xVal>
          <c:yVal>
            <c:numRef>
              <c:f>Feuil1!$C$81</c:f>
              <c:numCache/>
            </c:numRef>
          </c:yVal>
          <c:smooth val="0"/>
        </c:ser>
        <c:axId val="58420497"/>
        <c:axId val="56022426"/>
      </c:scatterChart>
      <c:scatterChart>
        <c:scatterStyle val="lineMarker"/>
        <c:varyColors val="0"/>
        <c:ser>
          <c:idx val="12"/>
          <c:order val="12"/>
          <c:tx>
            <c:v>puissance (ch) valeurs à droite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Feuil1!$A$50:$A$69</c:f>
              <c:numCache/>
            </c:numRef>
          </c:xVal>
          <c:yVal>
            <c:numRef>
              <c:f>Feuil1!$D$50:$D$69</c:f>
              <c:numCache/>
            </c:numRef>
          </c:yVal>
          <c:smooth val="0"/>
        </c:ser>
        <c:ser>
          <c:idx val="13"/>
          <c:order val="13"/>
          <c:tx>
            <c:v>daN.m pleine ch. valeurs à droite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Feuil1!$A$50:$A$69</c:f>
              <c:numCache/>
            </c:numRef>
          </c:xVal>
          <c:yVal>
            <c:numRef>
              <c:f>Feuil1!$G$50:$G$69</c:f>
              <c:numCache/>
            </c:numRef>
          </c:yVal>
          <c:smooth val="0"/>
        </c:ser>
        <c:axId val="34439787"/>
        <c:axId val="41522628"/>
      </c:scatterChart>
      <c:valAx>
        <c:axId val="58420497"/>
        <c:scaling>
          <c:orientation val="minMax"/>
          <c:max val="240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vitesse en tr/mn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6022426"/>
        <c:crosses val="autoZero"/>
        <c:crossBetween val="midCat"/>
        <c:dispUnits/>
        <c:majorUnit val="200"/>
        <c:minorUnit val="100"/>
      </c:valAx>
      <c:valAx>
        <c:axId val="56022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cons. en l/h</a:t>
                </a:r>
              </a:p>
            </c:rich>
          </c:tx>
          <c:layout>
            <c:manualLayout>
              <c:xMode val="factor"/>
              <c:yMode val="factor"/>
              <c:x val="-0.0195"/>
              <c:y val="0.0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8420497"/>
        <c:crosses val="autoZero"/>
        <c:crossBetween val="midCat"/>
        <c:dispUnits/>
      </c:valAx>
      <c:valAx>
        <c:axId val="34439787"/>
        <c:scaling>
          <c:orientation val="minMax"/>
        </c:scaling>
        <c:axPos val="b"/>
        <c:delete val="1"/>
        <c:majorTickMark val="in"/>
        <c:minorTickMark val="none"/>
        <c:tickLblPos val="nextTo"/>
        <c:crossAx val="41522628"/>
        <c:crosses val="max"/>
        <c:crossBetween val="midCat"/>
        <c:dispUnits/>
      </c:valAx>
      <c:valAx>
        <c:axId val="415226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4439787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05"/>
          <c:y val="0.10575"/>
          <c:w val="0.179"/>
          <c:h val="0.865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puissance, couple et cons. spécifique. J D 4255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05775"/>
          <c:w val="0.743"/>
          <c:h val="0.88275"/>
        </c:manualLayout>
      </c:layout>
      <c:scatterChart>
        <c:scatterStyle val="line"/>
        <c:varyColors val="0"/>
        <c:ser>
          <c:idx val="0"/>
          <c:order val="0"/>
          <c:tx>
            <c:v>couple en N.m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Feuil1!$A$50:$A$69</c:f>
              <c:numCache/>
            </c:numRef>
          </c:xVal>
          <c:yVal>
            <c:numRef>
              <c:f>Feuil1!$C$50:$C$69</c:f>
              <c:numCache/>
            </c:numRef>
          </c:yVal>
          <c:smooth val="0"/>
        </c:ser>
        <c:ser>
          <c:idx val="2"/>
          <c:order val="2"/>
          <c:tx>
            <c:v>cons. spéc. pleine charge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xVal>
            <c:numRef>
              <c:f>Feuil1!$A$3:$A$21</c:f>
              <c:numCache/>
            </c:numRef>
          </c:xVal>
          <c:yVal>
            <c:numRef>
              <c:f>Feuil1!$H$3:$H$21</c:f>
              <c:numCache/>
            </c:numRef>
          </c:yVal>
          <c:smooth val="0"/>
        </c:ser>
        <c:ser>
          <c:idx val="3"/>
          <c:order val="3"/>
          <c:tx>
            <c:v>conso. spéc. à 101;107;101 Nm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Feuil1!$C$78:$C$80</c:f>
              <c:numCache/>
            </c:numRef>
          </c:xVal>
          <c:yVal>
            <c:numRef>
              <c:f>Feuil1!$C$95:$C$97</c:f>
              <c:numCache/>
            </c:numRef>
          </c:yVal>
          <c:smooth val="0"/>
        </c:ser>
        <c:ser>
          <c:idx val="4"/>
          <c:order val="4"/>
          <c:tx>
            <c:v>conso. spéc. à 190;205;197,5 Nm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Feuil1!$D$78:$D$80</c:f>
              <c:numCache/>
            </c:numRef>
          </c:xVal>
          <c:yVal>
            <c:numRef>
              <c:f>Feuil1!$D$95:$D$97</c:f>
              <c:numCache/>
            </c:numRef>
          </c:yVal>
          <c:smooth val="0"/>
        </c:ser>
        <c:ser>
          <c:idx val="5"/>
          <c:order val="5"/>
          <c:tx>
            <c:v>conso. spéc. à 313;310;300 Nm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Feuil1!$E$78:$E$80</c:f>
              <c:numCache/>
            </c:numRef>
          </c:xVal>
          <c:yVal>
            <c:numRef>
              <c:f>Feuil1!$E$95:$E$97</c:f>
              <c:numCache/>
            </c:numRef>
          </c:yVal>
          <c:smooth val="0"/>
        </c:ser>
        <c:ser>
          <c:idx val="6"/>
          <c:order val="6"/>
          <c:tx>
            <c:v>conso. spéc. à 410;401;403,5 Nm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Feuil1!$F$78:$F$80</c:f>
              <c:numCache/>
            </c:numRef>
          </c:xVal>
          <c:yVal>
            <c:numRef>
              <c:f>Feuil1!$F$95:$F$97</c:f>
              <c:numCache/>
            </c:numRef>
          </c:yVal>
          <c:smooth val="0"/>
        </c:ser>
        <c:ser>
          <c:idx val="7"/>
          <c:order val="7"/>
          <c:tx>
            <c:v>conso. spéC. à 519;494;505 Nm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Feuil1!$G$78:$G$80</c:f>
              <c:numCache/>
            </c:numRef>
          </c:xVal>
          <c:yVal>
            <c:numRef>
              <c:f>Feuil1!$G$95:$G$97</c:f>
              <c:numCache/>
            </c:numRef>
          </c:yVal>
          <c:smooth val="0"/>
        </c:ser>
        <c:ser>
          <c:idx val="8"/>
          <c:order val="8"/>
          <c:tx>
            <c:v>spé 102 Nm s p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8000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Feuil1!$C$82</c:f>
              <c:numCache/>
            </c:numRef>
          </c:xVal>
          <c:yVal>
            <c:numRef>
              <c:f>Feuil1!$C$98</c:f>
              <c:numCache/>
            </c:numRef>
          </c:yVal>
          <c:smooth val="0"/>
        </c:ser>
        <c:ser>
          <c:idx val="9"/>
          <c:order val="9"/>
          <c:tx>
            <c:v>spé 205 Nm s 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333300"/>
                </a:solidFill>
              </a:ln>
            </c:spPr>
          </c:marker>
          <c:xVal>
            <c:numRef>
              <c:f>Feuil1!$D$82</c:f>
              <c:numCache/>
            </c:numRef>
          </c:xVal>
          <c:yVal>
            <c:numRef>
              <c:f>Feuil1!$D$98</c:f>
              <c:numCache/>
            </c:numRef>
          </c:yVal>
          <c:smooth val="0"/>
        </c:ser>
        <c:ser>
          <c:idx val="10"/>
          <c:order val="10"/>
          <c:tx>
            <c:v>spé 296,5 Nm s p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CC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Feuil1!$E$82</c:f>
              <c:numCache/>
            </c:numRef>
          </c:xVal>
          <c:yVal>
            <c:numRef>
              <c:f>Feuil1!$E$98</c:f>
              <c:numCache/>
            </c:numRef>
          </c:yVal>
          <c:smooth val="0"/>
        </c:ser>
        <c:ser>
          <c:idx val="11"/>
          <c:order val="11"/>
          <c:tx>
            <c:v>spé 392,5 Nm s p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Feuil1!$F$82</c:f>
              <c:numCache/>
            </c:numRef>
          </c:xVal>
          <c:yVal>
            <c:numRef>
              <c:f>Feuil1!$F$98</c:f>
              <c:numCache/>
            </c:numRef>
          </c:yVal>
          <c:smooth val="0"/>
        </c:ser>
        <c:ser>
          <c:idx val="12"/>
          <c:order val="12"/>
          <c:tx>
            <c:v>spé 499 Nm s p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Feuil1!$G$82</c:f>
              <c:numCache/>
            </c:numRef>
          </c:xVal>
          <c:yVal>
            <c:numRef>
              <c:f>Feuil1!$G$98</c:f>
              <c:numCache/>
            </c:numRef>
          </c:yVal>
          <c:smooth val="0"/>
        </c:ser>
        <c:axId val="38159333"/>
        <c:axId val="7889678"/>
      </c:scatterChart>
      <c:scatterChart>
        <c:scatterStyle val="lineMarker"/>
        <c:varyColors val="0"/>
        <c:ser>
          <c:idx val="1"/>
          <c:order val="1"/>
          <c:tx>
            <c:v>puissance en ch (à droite)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Feuil1!$A$50:$A$69</c:f>
              <c:numCache/>
            </c:numRef>
          </c:xVal>
          <c:yVal>
            <c:numRef>
              <c:f>Feuil1!$D$50:$D$69</c:f>
              <c:numCache/>
            </c:numRef>
          </c:yVal>
          <c:smooth val="0"/>
        </c:ser>
        <c:axId val="3898239"/>
        <c:axId val="35084152"/>
      </c:scatterChart>
      <c:valAx>
        <c:axId val="38159333"/>
        <c:scaling>
          <c:orientation val="minMax"/>
          <c:max val="2400"/>
          <c:min val="1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vitesse en tr/mn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7889678"/>
        <c:crosses val="autoZero"/>
        <c:crossBetween val="midCat"/>
        <c:dispUnits/>
        <c:minorUnit val="100"/>
      </c:valAx>
      <c:valAx>
        <c:axId val="7889678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couple en N.m (pour c spé   →/1000=l/ch.h)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38159333"/>
        <c:crosses val="autoZero"/>
        <c:crossBetween val="midCat"/>
        <c:dispUnits/>
        <c:minorUnit val="50"/>
      </c:valAx>
      <c:valAx>
        <c:axId val="3898239"/>
        <c:scaling>
          <c:orientation val="minMax"/>
        </c:scaling>
        <c:axPos val="b"/>
        <c:delete val="1"/>
        <c:majorTickMark val="in"/>
        <c:minorTickMark val="none"/>
        <c:tickLblPos val="nextTo"/>
        <c:crossAx val="35084152"/>
        <c:crosses val="max"/>
        <c:crossBetween val="midCat"/>
        <c:dispUnits/>
      </c:valAx>
      <c:valAx>
        <c:axId val="350841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3898239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"/>
          <c:y val="0.12425"/>
          <c:w val="0.174"/>
          <c:h val="0.875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00" b="1" i="0" u="none" baseline="0">
                <a:latin typeface="Arial"/>
                <a:ea typeface="Arial"/>
                <a:cs typeface="Arial"/>
              </a:rPr>
              <a:t>conso à charge partielle</a:t>
            </a:r>
          </a:p>
        </c:rich>
      </c:tx>
      <c:layout>
        <c:manualLayout>
          <c:xMode val="factor"/>
          <c:yMode val="factor"/>
          <c:x val="-0.004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2125"/>
          <c:w val="0.821"/>
          <c:h val="0.802"/>
        </c:manualLayout>
      </c:layout>
      <c:scatterChart>
        <c:scatterStyle val="line"/>
        <c:varyColors val="0"/>
        <c:ser>
          <c:idx val="0"/>
          <c:order val="0"/>
          <c:tx>
            <c:v>sans charge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Feuil1!$A$24:$A$33</c:f>
              <c:numCache/>
            </c:numRef>
          </c:xVal>
          <c:yVal>
            <c:numRef>
              <c:f>Feuil1!$B$24:$B$33</c:f>
              <c:numCache/>
            </c:numRef>
          </c:yVal>
          <c:smooth val="0"/>
        </c:ser>
        <c:ser>
          <c:idx val="1"/>
          <c:order val="1"/>
          <c:tx>
            <c:v>100 N.m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Feuil1!$A$26:$A$28</c:f>
              <c:numCache/>
            </c:numRef>
          </c:xVal>
          <c:yVal>
            <c:numRef>
              <c:f>Feuil1!$C$26:$C$28</c:f>
              <c:numCache/>
            </c:numRef>
          </c:yVal>
          <c:smooth val="0"/>
        </c:ser>
        <c:ser>
          <c:idx val="2"/>
          <c:order val="2"/>
          <c:tx>
            <c:v>200 N.m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Feuil1!$A$26:$A$28</c:f>
              <c:numCache/>
            </c:numRef>
          </c:xVal>
          <c:yVal>
            <c:numRef>
              <c:f>Feuil1!$D$26:$D$28</c:f>
              <c:numCache/>
            </c:numRef>
          </c:yVal>
          <c:smooth val="0"/>
        </c:ser>
        <c:ser>
          <c:idx val="3"/>
          <c:order val="3"/>
          <c:tx>
            <c:v>300 N.m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Feuil1!$A$26:$A$28</c:f>
              <c:numCache/>
            </c:numRef>
          </c:xVal>
          <c:yVal>
            <c:numRef>
              <c:f>Feuil1!$E$26:$E$28</c:f>
              <c:numCache/>
            </c:numRef>
          </c:yVal>
          <c:smooth val="0"/>
        </c:ser>
        <c:ser>
          <c:idx val="4"/>
          <c:order val="4"/>
          <c:tx>
            <c:v>400 N.m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Feuil1!$A$26:$A$28</c:f>
              <c:numCache/>
            </c:numRef>
          </c:xVal>
          <c:yVal>
            <c:numRef>
              <c:f>Feuil1!$F$26:$F$28</c:f>
              <c:numCache/>
            </c:numRef>
          </c:yVal>
          <c:smooth val="0"/>
        </c:ser>
        <c:ser>
          <c:idx val="5"/>
          <c:order val="5"/>
          <c:tx>
            <c:v>500 N.m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Feuil1!$A$26:$A$28</c:f>
              <c:numCache/>
            </c:numRef>
          </c:xVal>
          <c:yVal>
            <c:numRef>
              <c:f>Feuil1!$G$26:$G$28</c:f>
              <c:numCache/>
            </c:numRef>
          </c:yVal>
          <c:smooth val="0"/>
        </c:ser>
        <c:axId val="47321913"/>
        <c:axId val="23244034"/>
      </c:scatterChart>
      <c:valAx>
        <c:axId val="47321913"/>
        <c:scaling>
          <c:orientation val="minMax"/>
          <c:max val="240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50" b="1" i="0" u="none" baseline="0">
                    <a:latin typeface="Arial"/>
                    <a:ea typeface="Arial"/>
                    <a:cs typeface="Arial"/>
                  </a:rPr>
                  <a:t>vitesse en tr/mn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75" b="1" i="0" u="none" baseline="0">
                <a:latin typeface="Arial"/>
                <a:ea typeface="Arial"/>
                <a:cs typeface="Arial"/>
              </a:defRPr>
            </a:pPr>
          </a:p>
        </c:txPr>
        <c:crossAx val="23244034"/>
        <c:crosses val="autoZero"/>
        <c:crossBetween val="midCat"/>
        <c:dispUnits/>
        <c:majorUnit val="600"/>
      </c:valAx>
      <c:valAx>
        <c:axId val="23244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50" b="1" i="0" u="none" baseline="0">
                    <a:latin typeface="Arial"/>
                    <a:ea typeface="Arial"/>
                    <a:cs typeface="Arial"/>
                  </a:rPr>
                  <a:t>conso en litre/heure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975" b="1" i="0" u="none" baseline="0">
                <a:latin typeface="Arial"/>
                <a:ea typeface="Arial"/>
                <a:cs typeface="Arial"/>
              </a:defRPr>
            </a:pPr>
          </a:p>
        </c:txPr>
        <c:crossAx val="47321913"/>
        <c:crosses val="autoZero"/>
        <c:crossBetween val="midCat"/>
        <c:dispUnits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5"/>
          <c:y val="0.352"/>
          <c:w val="0.1285"/>
          <c:h val="0.236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143</xdr:row>
      <xdr:rowOff>38100</xdr:rowOff>
    </xdr:from>
    <xdr:to>
      <xdr:col>12</xdr:col>
      <xdr:colOff>714375</xdr:colOff>
      <xdr:row>178</xdr:row>
      <xdr:rowOff>114300</xdr:rowOff>
    </xdr:to>
    <xdr:graphicFrame>
      <xdr:nvGraphicFramePr>
        <xdr:cNvPr id="1" name="Chart 10"/>
        <xdr:cNvGraphicFramePr/>
      </xdr:nvGraphicFramePr>
      <xdr:xfrm>
        <a:off x="0" y="23317200"/>
        <a:ext cx="83439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179</xdr:row>
      <xdr:rowOff>28575</xdr:rowOff>
    </xdr:from>
    <xdr:to>
      <xdr:col>12</xdr:col>
      <xdr:colOff>704850</xdr:colOff>
      <xdr:row>214</xdr:row>
      <xdr:rowOff>123825</xdr:rowOff>
    </xdr:to>
    <xdr:graphicFrame>
      <xdr:nvGraphicFramePr>
        <xdr:cNvPr id="2" name="Chart 11"/>
        <xdr:cNvGraphicFramePr/>
      </xdr:nvGraphicFramePr>
      <xdr:xfrm>
        <a:off x="0" y="29136975"/>
        <a:ext cx="8334375" cy="5762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504825</xdr:colOff>
      <xdr:row>180</xdr:row>
      <xdr:rowOff>152400</xdr:rowOff>
    </xdr:from>
    <xdr:to>
      <xdr:col>12</xdr:col>
      <xdr:colOff>66675</xdr:colOff>
      <xdr:row>182</xdr:row>
      <xdr:rowOff>47625</xdr:rowOff>
    </xdr:to>
    <xdr:sp>
      <xdr:nvSpPr>
        <xdr:cNvPr id="3" name="TextBox 15"/>
        <xdr:cNvSpPr txBox="1">
          <a:spLocks noChangeArrowheads="1"/>
        </xdr:cNvSpPr>
      </xdr:nvSpPr>
      <xdr:spPr>
        <a:xfrm>
          <a:off x="6667500" y="29422725"/>
          <a:ext cx="10287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ch ou daN.m</a:t>
          </a:r>
        </a:p>
      </xdr:txBody>
    </xdr:sp>
    <xdr:clientData/>
  </xdr:twoCellAnchor>
  <xdr:twoCellAnchor>
    <xdr:from>
      <xdr:col>0</xdr:col>
      <xdr:colOff>0</xdr:colOff>
      <xdr:row>107</xdr:row>
      <xdr:rowOff>38100</xdr:rowOff>
    </xdr:from>
    <xdr:to>
      <xdr:col>12</xdr:col>
      <xdr:colOff>723900</xdr:colOff>
      <xdr:row>142</xdr:row>
      <xdr:rowOff>57150</xdr:rowOff>
    </xdr:to>
    <xdr:graphicFrame>
      <xdr:nvGraphicFramePr>
        <xdr:cNvPr id="4" name="Chart 12"/>
        <xdr:cNvGraphicFramePr/>
      </xdr:nvGraphicFramePr>
      <xdr:xfrm>
        <a:off x="0" y="17487900"/>
        <a:ext cx="8353425" cy="568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95250</xdr:colOff>
      <xdr:row>109</xdr:row>
      <xdr:rowOff>114300</xdr:rowOff>
    </xdr:from>
    <xdr:to>
      <xdr:col>11</xdr:col>
      <xdr:colOff>361950</xdr:colOff>
      <xdr:row>110</xdr:row>
      <xdr:rowOff>142875</xdr:rowOff>
    </xdr:to>
    <xdr:sp>
      <xdr:nvSpPr>
        <xdr:cNvPr id="5" name="TextBox 16"/>
        <xdr:cNvSpPr txBox="1">
          <a:spLocks noChangeArrowheads="1"/>
        </xdr:cNvSpPr>
      </xdr:nvSpPr>
      <xdr:spPr>
        <a:xfrm>
          <a:off x="6991350" y="17887950"/>
          <a:ext cx="2667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ch</a:t>
          </a:r>
        </a:p>
      </xdr:txBody>
    </xdr:sp>
    <xdr:clientData/>
  </xdr:twoCellAnchor>
  <xdr:twoCellAnchor>
    <xdr:from>
      <xdr:col>13</xdr:col>
      <xdr:colOff>47625</xdr:colOff>
      <xdr:row>0</xdr:row>
      <xdr:rowOff>0</xdr:rowOff>
    </xdr:from>
    <xdr:to>
      <xdr:col>23</xdr:col>
      <xdr:colOff>733425</xdr:colOff>
      <xdr:row>34</xdr:row>
      <xdr:rowOff>123825</xdr:rowOff>
    </xdr:to>
    <xdr:grpSp>
      <xdr:nvGrpSpPr>
        <xdr:cNvPr id="6" name="Group 21"/>
        <xdr:cNvGrpSpPr>
          <a:grpSpLocks/>
        </xdr:cNvGrpSpPr>
      </xdr:nvGrpSpPr>
      <xdr:grpSpPr>
        <a:xfrm>
          <a:off x="8439150" y="0"/>
          <a:ext cx="8305800" cy="5686425"/>
          <a:chOff x="886" y="0"/>
          <a:chExt cx="872" cy="597"/>
        </a:xfrm>
        <a:solidFill>
          <a:srgbClr val="FFFFFF"/>
        </a:solidFill>
      </xdr:grpSpPr>
      <xdr:graphicFrame>
        <xdr:nvGraphicFramePr>
          <xdr:cNvPr id="7" name="Chart 6"/>
          <xdr:cNvGraphicFramePr/>
        </xdr:nvGraphicFramePr>
        <xdr:xfrm>
          <a:off x="886" y="0"/>
          <a:ext cx="872" cy="59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sp>
        <xdr:nvSpPr>
          <xdr:cNvPr id="8" name="TextBox 17"/>
          <xdr:cNvSpPr txBox="1">
            <a:spLocks noChangeArrowheads="1"/>
          </xdr:cNvSpPr>
        </xdr:nvSpPr>
        <xdr:spPr>
          <a:xfrm>
            <a:off x="1013" y="104"/>
            <a:ext cx="360" cy="1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Dans ce tableau, les valeurs ne sont pas corrigées :
ex : il y a 100 N.m et 16, 18, 2000 tr/mn dans les calculs
au lieu de : (101;1595), (107;1800), (101;1998)
Donc, c'est un peu faussé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34</xdr:row>
      <xdr:rowOff>38100</xdr:rowOff>
    </xdr:from>
    <xdr:to>
      <xdr:col>1</xdr:col>
      <xdr:colOff>0</xdr:colOff>
      <xdr:row>38</xdr:row>
      <xdr:rowOff>85725</xdr:rowOff>
    </xdr:to>
    <xdr:sp>
      <xdr:nvSpPr>
        <xdr:cNvPr id="1" name="Line 1"/>
        <xdr:cNvSpPr>
          <a:spLocks/>
        </xdr:cNvSpPr>
      </xdr:nvSpPr>
      <xdr:spPr>
        <a:xfrm flipH="1" flipV="1">
          <a:off x="238125" y="6048375"/>
          <a:ext cx="15240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118</xdr:row>
      <xdr:rowOff>19050</xdr:rowOff>
    </xdr:from>
    <xdr:to>
      <xdr:col>5</xdr:col>
      <xdr:colOff>0</xdr:colOff>
      <xdr:row>122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600200" y="19831050"/>
          <a:ext cx="323850" cy="628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153</xdr:row>
      <xdr:rowOff>76200</xdr:rowOff>
    </xdr:from>
    <xdr:to>
      <xdr:col>10</xdr:col>
      <xdr:colOff>371475</xdr:colOff>
      <xdr:row>153</xdr:row>
      <xdr:rowOff>76200</xdr:rowOff>
    </xdr:to>
    <xdr:sp>
      <xdr:nvSpPr>
        <xdr:cNvPr id="3" name="Line 3"/>
        <xdr:cNvSpPr>
          <a:spLocks/>
        </xdr:cNvSpPr>
      </xdr:nvSpPr>
      <xdr:spPr>
        <a:xfrm flipH="1">
          <a:off x="3943350" y="255651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162</xdr:row>
      <xdr:rowOff>133350</xdr:rowOff>
    </xdr:from>
    <xdr:to>
      <xdr:col>7</xdr:col>
      <xdr:colOff>257175</xdr:colOff>
      <xdr:row>165</xdr:row>
      <xdr:rowOff>38100</xdr:rowOff>
    </xdr:to>
    <xdr:grpSp>
      <xdr:nvGrpSpPr>
        <xdr:cNvPr id="4" name="Group 4"/>
        <xdr:cNvGrpSpPr>
          <a:grpSpLocks/>
        </xdr:cNvGrpSpPr>
      </xdr:nvGrpSpPr>
      <xdr:grpSpPr>
        <a:xfrm>
          <a:off x="523875" y="27079575"/>
          <a:ext cx="2457450" cy="390525"/>
          <a:chOff x="90" y="190"/>
          <a:chExt cx="252" cy="39"/>
        </a:xfrm>
        <a:solidFill>
          <a:srgbClr val="FFFFFF"/>
        </a:solidFill>
      </xdr:grpSpPr>
      <xdr:sp>
        <xdr:nvSpPr>
          <xdr:cNvPr id="5" name="TextBox 5"/>
          <xdr:cNvSpPr txBox="1">
            <a:spLocks noChangeArrowheads="1"/>
          </xdr:cNvSpPr>
        </xdr:nvSpPr>
        <xdr:spPr>
          <a:xfrm>
            <a:off x="90" y="190"/>
            <a:ext cx="227" cy="39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 : butée réglage débit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régime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maxi
(réglage du correcteur positif avec A)</a:t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 flipH="1">
            <a:off x="315" y="192"/>
            <a:ext cx="27" cy="33"/>
          </a:xfrm>
          <a:prstGeom prst="moon">
            <a:avLst>
              <a:gd name="adj" fmla="val 37500"/>
            </a:avLst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9525</xdr:colOff>
      <xdr:row>157</xdr:row>
      <xdr:rowOff>66675</xdr:rowOff>
    </xdr:from>
    <xdr:to>
      <xdr:col>8</xdr:col>
      <xdr:colOff>66675</xdr:colOff>
      <xdr:row>160</xdr:row>
      <xdr:rowOff>104775</xdr:rowOff>
    </xdr:to>
    <xdr:grpSp>
      <xdr:nvGrpSpPr>
        <xdr:cNvPr id="7" name="Group 7"/>
        <xdr:cNvGrpSpPr>
          <a:grpSpLocks/>
        </xdr:cNvGrpSpPr>
      </xdr:nvGrpSpPr>
      <xdr:grpSpPr>
        <a:xfrm>
          <a:off x="400050" y="26203275"/>
          <a:ext cx="2790825" cy="523875"/>
          <a:chOff x="73" y="275"/>
          <a:chExt cx="251" cy="40"/>
        </a:xfrm>
        <a:solidFill>
          <a:srgbClr val="FFFFFF"/>
        </a:solidFill>
      </xdr:grpSpPr>
      <xdr:sp>
        <xdr:nvSpPr>
          <xdr:cNvPr id="8" name="TextBox 8"/>
          <xdr:cNvSpPr txBox="1">
            <a:spLocks noChangeArrowheads="1"/>
          </xdr:cNvSpPr>
        </xdr:nvSpPr>
        <xdr:spPr>
          <a:xfrm>
            <a:off x="73" y="275"/>
            <a:ext cx="228" cy="40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 :butée réglage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débit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maxi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(correspondant au régime couple maxi)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(réglage du correcteur positf avec B)</a:t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 flipH="1">
            <a:off x="299" y="278"/>
            <a:ext cx="25" cy="35"/>
          </a:xfrm>
          <a:prstGeom prst="moon">
            <a:avLst>
              <a:gd name="adj" fmla="val 37500"/>
            </a:avLst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180975</xdr:colOff>
      <xdr:row>161</xdr:row>
      <xdr:rowOff>85725</xdr:rowOff>
    </xdr:from>
    <xdr:to>
      <xdr:col>8</xdr:col>
      <xdr:colOff>200025</xdr:colOff>
      <xdr:row>179</xdr:row>
      <xdr:rowOff>95250</xdr:rowOff>
    </xdr:to>
    <xdr:sp>
      <xdr:nvSpPr>
        <xdr:cNvPr id="10" name="Line 10"/>
        <xdr:cNvSpPr>
          <a:spLocks/>
        </xdr:cNvSpPr>
      </xdr:nvSpPr>
      <xdr:spPr>
        <a:xfrm flipH="1">
          <a:off x="3305175" y="26870025"/>
          <a:ext cx="19050" cy="2924175"/>
        </a:xfrm>
        <a:prstGeom prst="line">
          <a:avLst/>
        </a:prstGeom>
        <a:noFill/>
        <a:ln w="571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153</xdr:row>
      <xdr:rowOff>66675</xdr:rowOff>
    </xdr:from>
    <xdr:to>
      <xdr:col>15</xdr:col>
      <xdr:colOff>342900</xdr:colOff>
      <xdr:row>155</xdr:row>
      <xdr:rowOff>19050</xdr:rowOff>
    </xdr:to>
    <xdr:grpSp>
      <xdr:nvGrpSpPr>
        <xdr:cNvPr id="11" name="Group 11"/>
        <xdr:cNvGrpSpPr>
          <a:grpSpLocks/>
        </xdr:cNvGrpSpPr>
      </xdr:nvGrpSpPr>
      <xdr:grpSpPr>
        <a:xfrm>
          <a:off x="3276600" y="25555575"/>
          <a:ext cx="3095625" cy="276225"/>
          <a:chOff x="353" y="107"/>
          <a:chExt cx="314" cy="29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378" y="124"/>
            <a:ext cx="289" cy="0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Polygon 13"/>
          <xdr:cNvSpPr>
            <a:spLocks/>
          </xdr:cNvSpPr>
        </xdr:nvSpPr>
        <xdr:spPr>
          <a:xfrm>
            <a:off x="353" y="107"/>
            <a:ext cx="23" cy="29"/>
          </a:xfrm>
          <a:custGeom>
            <a:pathLst>
              <a:path h="70" w="42">
                <a:moveTo>
                  <a:pt x="0" y="67"/>
                </a:moveTo>
                <a:lnTo>
                  <a:pt x="0" y="0"/>
                </a:lnTo>
                <a:lnTo>
                  <a:pt x="42" y="0"/>
                </a:lnTo>
                <a:lnTo>
                  <a:pt x="42" y="70"/>
                </a:lnTo>
              </a:path>
            </a:pathLst>
          </a:cu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154</xdr:row>
      <xdr:rowOff>47625</xdr:rowOff>
    </xdr:from>
    <xdr:to>
      <xdr:col>8</xdr:col>
      <xdr:colOff>257175</xdr:colOff>
      <xdr:row>166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3371850" y="25698450"/>
          <a:ext cx="9525" cy="18954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161</xdr:row>
      <xdr:rowOff>76200</xdr:rowOff>
    </xdr:from>
    <xdr:to>
      <xdr:col>10</xdr:col>
      <xdr:colOff>57150</xdr:colOff>
      <xdr:row>161</xdr:row>
      <xdr:rowOff>76200</xdr:rowOff>
    </xdr:to>
    <xdr:sp>
      <xdr:nvSpPr>
        <xdr:cNvPr id="15" name="Line 15"/>
        <xdr:cNvSpPr>
          <a:spLocks/>
        </xdr:cNvSpPr>
      </xdr:nvSpPr>
      <xdr:spPr>
        <a:xfrm flipH="1">
          <a:off x="3295650" y="26860500"/>
          <a:ext cx="657225" cy="0"/>
        </a:xfrm>
        <a:prstGeom prst="line">
          <a:avLst/>
        </a:prstGeom>
        <a:noFill/>
        <a:ln w="381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165</xdr:row>
      <xdr:rowOff>104775</xdr:rowOff>
    </xdr:from>
    <xdr:to>
      <xdr:col>8</xdr:col>
      <xdr:colOff>314325</xdr:colOff>
      <xdr:row>166</xdr:row>
      <xdr:rowOff>85725</xdr:rowOff>
    </xdr:to>
    <xdr:sp>
      <xdr:nvSpPr>
        <xdr:cNvPr id="16" name="Polygon 16"/>
        <xdr:cNvSpPr>
          <a:spLocks/>
        </xdr:cNvSpPr>
      </xdr:nvSpPr>
      <xdr:spPr>
        <a:xfrm>
          <a:off x="3305175" y="27536775"/>
          <a:ext cx="133350" cy="142875"/>
        </a:xfrm>
        <a:custGeom>
          <a:pathLst>
            <a:path h="50" w="44">
              <a:moveTo>
                <a:pt x="0" y="50"/>
              </a:moveTo>
              <a:lnTo>
                <a:pt x="44" y="50"/>
              </a:lnTo>
              <a:lnTo>
                <a:pt x="44" y="0"/>
              </a:lnTo>
            </a:path>
          </a:pathLst>
        </a:custGeom>
        <a:noFill/>
        <a:ln w="571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160</xdr:row>
      <xdr:rowOff>123825</xdr:rowOff>
    </xdr:from>
    <xdr:to>
      <xdr:col>10</xdr:col>
      <xdr:colOff>19050</xdr:colOff>
      <xdr:row>162</xdr:row>
      <xdr:rowOff>19050</xdr:rowOff>
    </xdr:to>
    <xdr:sp>
      <xdr:nvSpPr>
        <xdr:cNvPr id="17" name="Polygon 17"/>
        <xdr:cNvSpPr>
          <a:spLocks/>
        </xdr:cNvSpPr>
      </xdr:nvSpPr>
      <xdr:spPr>
        <a:xfrm rot="5400000">
          <a:off x="3409950" y="26746200"/>
          <a:ext cx="504825" cy="219075"/>
        </a:xfrm>
        <a:custGeom>
          <a:pathLst>
            <a:path h="119" w="50">
              <a:moveTo>
                <a:pt x="0" y="0"/>
              </a:moveTo>
              <a:lnTo>
                <a:pt x="49" y="0"/>
              </a:lnTo>
              <a:lnTo>
                <a:pt x="3" y="19"/>
              </a:lnTo>
              <a:lnTo>
                <a:pt x="49" y="35"/>
              </a:lnTo>
              <a:lnTo>
                <a:pt x="0" y="52"/>
              </a:lnTo>
              <a:lnTo>
                <a:pt x="49" y="69"/>
              </a:lnTo>
              <a:lnTo>
                <a:pt x="1" y="85"/>
              </a:lnTo>
              <a:lnTo>
                <a:pt x="50" y="103"/>
              </a:lnTo>
              <a:lnTo>
                <a:pt x="0" y="119"/>
              </a:lnTo>
              <a:lnTo>
                <a:pt x="48" y="119"/>
              </a:lnTo>
            </a:path>
          </a:pathLst>
        </a:cu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160</xdr:row>
      <xdr:rowOff>85725</xdr:rowOff>
    </xdr:from>
    <xdr:to>
      <xdr:col>10</xdr:col>
      <xdr:colOff>66675</xdr:colOff>
      <xdr:row>162</xdr:row>
      <xdr:rowOff>85725</xdr:rowOff>
    </xdr:to>
    <xdr:sp>
      <xdr:nvSpPr>
        <xdr:cNvPr id="18" name="Line 18"/>
        <xdr:cNvSpPr>
          <a:spLocks/>
        </xdr:cNvSpPr>
      </xdr:nvSpPr>
      <xdr:spPr>
        <a:xfrm flipH="1">
          <a:off x="3952875" y="26708100"/>
          <a:ext cx="9525" cy="323850"/>
        </a:xfrm>
        <a:prstGeom prst="line">
          <a:avLst/>
        </a:prstGeom>
        <a:noFill/>
        <a:ln w="571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165</xdr:row>
      <xdr:rowOff>57150</xdr:rowOff>
    </xdr:from>
    <xdr:to>
      <xdr:col>9</xdr:col>
      <xdr:colOff>209550</xdr:colOff>
      <xdr:row>166</xdr:row>
      <xdr:rowOff>152400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3495675" y="27489150"/>
          <a:ext cx="2381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8</xdr:col>
      <xdr:colOff>323850</xdr:colOff>
      <xdr:row>155</xdr:row>
      <xdr:rowOff>19050</xdr:rowOff>
    </xdr:from>
    <xdr:to>
      <xdr:col>9</xdr:col>
      <xdr:colOff>161925</xdr:colOff>
      <xdr:row>156</xdr:row>
      <xdr:rowOff>114300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3448050" y="25831800"/>
          <a:ext cx="2381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1</xdr:col>
      <xdr:colOff>190500</xdr:colOff>
      <xdr:row>167</xdr:row>
      <xdr:rowOff>47625</xdr:rowOff>
    </xdr:from>
    <xdr:to>
      <xdr:col>8</xdr:col>
      <xdr:colOff>114300</xdr:colOff>
      <xdr:row>169</xdr:row>
      <xdr:rowOff>95250</xdr:rowOff>
    </xdr:to>
    <xdr:grpSp>
      <xdr:nvGrpSpPr>
        <xdr:cNvPr id="21" name="Group 21"/>
        <xdr:cNvGrpSpPr>
          <a:grpSpLocks/>
        </xdr:cNvGrpSpPr>
      </xdr:nvGrpSpPr>
      <xdr:grpSpPr>
        <a:xfrm>
          <a:off x="581025" y="27803475"/>
          <a:ext cx="2657475" cy="371475"/>
          <a:chOff x="61" y="2902"/>
          <a:chExt cx="279" cy="39"/>
        </a:xfrm>
        <a:solidFill>
          <a:srgbClr val="FFFFFF"/>
        </a:solidFill>
      </xdr:grpSpPr>
      <xdr:sp>
        <xdr:nvSpPr>
          <xdr:cNvPr id="22" name="TextBox 22"/>
          <xdr:cNvSpPr txBox="1">
            <a:spLocks noChangeArrowheads="1"/>
          </xdr:cNvSpPr>
        </xdr:nvSpPr>
        <xdr:spPr>
          <a:xfrm>
            <a:off x="61" y="2903"/>
            <a:ext cx="226" cy="38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 : butée réglage du correcteur
négatif</a:t>
            </a:r>
          </a:p>
        </xdr:txBody>
      </xdr:sp>
      <xdr:sp>
        <xdr:nvSpPr>
          <xdr:cNvPr id="23" name="Polygon 23"/>
          <xdr:cNvSpPr>
            <a:spLocks/>
          </xdr:cNvSpPr>
        </xdr:nvSpPr>
        <xdr:spPr>
          <a:xfrm rot="5400000">
            <a:off x="291" y="2904"/>
            <a:ext cx="37" cy="36"/>
          </a:xfrm>
          <a:custGeom>
            <a:pathLst>
              <a:path h="119" w="50">
                <a:moveTo>
                  <a:pt x="0" y="0"/>
                </a:moveTo>
                <a:lnTo>
                  <a:pt x="49" y="0"/>
                </a:lnTo>
                <a:lnTo>
                  <a:pt x="3" y="19"/>
                </a:lnTo>
                <a:lnTo>
                  <a:pt x="49" y="35"/>
                </a:lnTo>
                <a:lnTo>
                  <a:pt x="0" y="52"/>
                </a:lnTo>
                <a:lnTo>
                  <a:pt x="49" y="69"/>
                </a:lnTo>
                <a:lnTo>
                  <a:pt x="1" y="85"/>
                </a:lnTo>
                <a:lnTo>
                  <a:pt x="50" y="103"/>
                </a:lnTo>
                <a:lnTo>
                  <a:pt x="0" y="119"/>
                </a:lnTo>
                <a:lnTo>
                  <a:pt x="48" y="119"/>
                </a:lnTo>
              </a:path>
            </a:pathLst>
          </a:custGeom>
          <a:noFill/>
          <a:ln w="9525" cmpd="sng">
            <a:solidFill>
              <a:srgbClr val="00FF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 flipH="1">
            <a:off x="329" y="2902"/>
            <a:ext cx="11" cy="39"/>
          </a:xfrm>
          <a:prstGeom prst="moon">
            <a:avLst>
              <a:gd name="adj" fmla="val 37500"/>
            </a:avLst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5" name="Group 25"/>
          <xdr:cNvGrpSpPr>
            <a:grpSpLocks/>
          </xdr:cNvGrpSpPr>
        </xdr:nvGrpSpPr>
        <xdr:grpSpPr>
          <a:xfrm>
            <a:off x="283" y="2913"/>
            <a:ext cx="48" cy="17"/>
            <a:chOff x="654" y="2866"/>
            <a:chExt cx="59" cy="21"/>
          </a:xfrm>
          <a:solidFill>
            <a:srgbClr val="FFFFFF"/>
          </a:solidFill>
        </xdr:grpSpPr>
        <xdr:sp>
          <xdr:nvSpPr>
            <xdr:cNvPr id="26" name="Line 26"/>
            <xdr:cNvSpPr>
              <a:spLocks/>
            </xdr:cNvSpPr>
          </xdr:nvSpPr>
          <xdr:spPr>
            <a:xfrm flipH="1">
              <a:off x="654" y="2876"/>
              <a:ext cx="59" cy="0"/>
            </a:xfrm>
            <a:prstGeom prst="line">
              <a:avLst/>
            </a:prstGeom>
            <a:noFill/>
            <a:ln w="38100" cmpd="sng">
              <a:solidFill>
                <a:srgbClr val="FF99C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Line 27"/>
            <xdr:cNvSpPr>
              <a:spLocks/>
            </xdr:cNvSpPr>
          </xdr:nvSpPr>
          <xdr:spPr>
            <a:xfrm flipH="1">
              <a:off x="654" y="2866"/>
              <a:ext cx="0" cy="21"/>
            </a:xfrm>
            <a:prstGeom prst="line">
              <a:avLst/>
            </a:prstGeom>
            <a:noFill/>
            <a:ln w="38100" cmpd="sng">
              <a:solidFill>
                <a:srgbClr val="FF99C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0</xdr:colOff>
      <xdr:row>178</xdr:row>
      <xdr:rowOff>104775</xdr:rowOff>
    </xdr:from>
    <xdr:to>
      <xdr:col>8</xdr:col>
      <xdr:colOff>152400</xdr:colOff>
      <xdr:row>178</xdr:row>
      <xdr:rowOff>104775</xdr:rowOff>
    </xdr:to>
    <xdr:sp>
      <xdr:nvSpPr>
        <xdr:cNvPr id="28" name="Line 28"/>
        <xdr:cNvSpPr>
          <a:spLocks/>
        </xdr:cNvSpPr>
      </xdr:nvSpPr>
      <xdr:spPr>
        <a:xfrm>
          <a:off x="3124200" y="296418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162</xdr:row>
      <xdr:rowOff>19050</xdr:rowOff>
    </xdr:from>
    <xdr:to>
      <xdr:col>9</xdr:col>
      <xdr:colOff>342900</xdr:colOff>
      <xdr:row>163</xdr:row>
      <xdr:rowOff>85725</xdr:rowOff>
    </xdr:to>
    <xdr:sp>
      <xdr:nvSpPr>
        <xdr:cNvPr id="29" name="Line 29"/>
        <xdr:cNvSpPr>
          <a:spLocks/>
        </xdr:cNvSpPr>
      </xdr:nvSpPr>
      <xdr:spPr>
        <a:xfrm flipH="1" flipV="1">
          <a:off x="3638550" y="26965275"/>
          <a:ext cx="228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158</xdr:row>
      <xdr:rowOff>123825</xdr:rowOff>
    </xdr:from>
    <xdr:to>
      <xdr:col>9</xdr:col>
      <xdr:colOff>352425</xdr:colOff>
      <xdr:row>159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3390900" y="26422350"/>
          <a:ext cx="4857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209550</xdr:colOff>
      <xdr:row>153</xdr:row>
      <xdr:rowOff>95250</xdr:rowOff>
    </xdr:from>
    <xdr:to>
      <xdr:col>16</xdr:col>
      <xdr:colOff>123825</xdr:colOff>
      <xdr:row>153</xdr:row>
      <xdr:rowOff>95250</xdr:rowOff>
    </xdr:to>
    <xdr:sp>
      <xdr:nvSpPr>
        <xdr:cNvPr id="31" name="Line 31"/>
        <xdr:cNvSpPr>
          <a:spLocks/>
        </xdr:cNvSpPr>
      </xdr:nvSpPr>
      <xdr:spPr>
        <a:xfrm>
          <a:off x="6238875" y="255841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145</xdr:row>
      <xdr:rowOff>123825</xdr:rowOff>
    </xdr:from>
    <xdr:to>
      <xdr:col>5</xdr:col>
      <xdr:colOff>0</xdr:colOff>
      <xdr:row>148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42925" y="24317325"/>
          <a:ext cx="1381125" cy="3619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 : correcteur
négatif pneumatique</a:t>
          </a:r>
        </a:p>
      </xdr:txBody>
    </xdr:sp>
    <xdr:clientData/>
  </xdr:twoCellAnchor>
  <xdr:twoCellAnchor>
    <xdr:from>
      <xdr:col>7</xdr:col>
      <xdr:colOff>219075</xdr:colOff>
      <xdr:row>148</xdr:row>
      <xdr:rowOff>142875</xdr:rowOff>
    </xdr:from>
    <xdr:to>
      <xdr:col>7</xdr:col>
      <xdr:colOff>295275</xdr:colOff>
      <xdr:row>153</xdr:row>
      <xdr:rowOff>142875</xdr:rowOff>
    </xdr:to>
    <xdr:grpSp>
      <xdr:nvGrpSpPr>
        <xdr:cNvPr id="33" name="Group 33"/>
        <xdr:cNvGrpSpPr>
          <a:grpSpLocks/>
        </xdr:cNvGrpSpPr>
      </xdr:nvGrpSpPr>
      <xdr:grpSpPr>
        <a:xfrm>
          <a:off x="2943225" y="24822150"/>
          <a:ext cx="76200" cy="809625"/>
          <a:chOff x="313" y="2659"/>
          <a:chExt cx="8" cy="85"/>
        </a:xfrm>
        <a:solidFill>
          <a:srgbClr val="FFFFFF"/>
        </a:solidFill>
      </xdr:grpSpPr>
      <xdr:sp>
        <xdr:nvSpPr>
          <xdr:cNvPr id="34" name="Line 34"/>
          <xdr:cNvSpPr>
            <a:spLocks/>
          </xdr:cNvSpPr>
        </xdr:nvSpPr>
        <xdr:spPr>
          <a:xfrm>
            <a:off x="318" y="2659"/>
            <a:ext cx="0" cy="42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318" y="2702"/>
            <a:ext cx="0" cy="42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oval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Oval 36"/>
          <xdr:cNvSpPr>
            <a:spLocks/>
          </xdr:cNvSpPr>
        </xdr:nvSpPr>
        <xdr:spPr>
          <a:xfrm>
            <a:off x="313" y="2697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171450</xdr:colOff>
      <xdr:row>148</xdr:row>
      <xdr:rowOff>95250</xdr:rowOff>
    </xdr:from>
    <xdr:to>
      <xdr:col>4</xdr:col>
      <xdr:colOff>85725</xdr:colOff>
      <xdr:row>148</xdr:row>
      <xdr:rowOff>114300</xdr:rowOff>
    </xdr:to>
    <xdr:sp>
      <xdr:nvSpPr>
        <xdr:cNvPr id="37" name="Line 37"/>
        <xdr:cNvSpPr>
          <a:spLocks/>
        </xdr:cNvSpPr>
      </xdr:nvSpPr>
      <xdr:spPr>
        <a:xfrm>
          <a:off x="895350" y="24774525"/>
          <a:ext cx="7143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146</xdr:row>
      <xdr:rowOff>28575</xdr:rowOff>
    </xdr:from>
    <xdr:to>
      <xdr:col>7</xdr:col>
      <xdr:colOff>390525</xdr:colOff>
      <xdr:row>147</xdr:row>
      <xdr:rowOff>123825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876550" y="24384000"/>
          <a:ext cx="2381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314325</xdr:colOff>
      <xdr:row>148</xdr:row>
      <xdr:rowOff>133350</xdr:rowOff>
    </xdr:from>
    <xdr:to>
      <xdr:col>8</xdr:col>
      <xdr:colOff>381000</xdr:colOff>
      <xdr:row>150</xdr:row>
      <xdr:rowOff>28575</xdr:rowOff>
    </xdr:to>
    <xdr:sp>
      <xdr:nvSpPr>
        <xdr:cNvPr id="39" name="Line 39"/>
        <xdr:cNvSpPr>
          <a:spLocks/>
        </xdr:cNvSpPr>
      </xdr:nvSpPr>
      <xdr:spPr>
        <a:xfrm flipH="1">
          <a:off x="3038475" y="24812625"/>
          <a:ext cx="4667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179</xdr:row>
      <xdr:rowOff>104775</xdr:rowOff>
    </xdr:from>
    <xdr:to>
      <xdr:col>8</xdr:col>
      <xdr:colOff>219075</xdr:colOff>
      <xdr:row>180</xdr:row>
      <xdr:rowOff>19050</xdr:rowOff>
    </xdr:to>
    <xdr:sp>
      <xdr:nvSpPr>
        <xdr:cNvPr id="40" name="AutoShape 40"/>
        <xdr:cNvSpPr>
          <a:spLocks/>
        </xdr:cNvSpPr>
      </xdr:nvSpPr>
      <xdr:spPr>
        <a:xfrm>
          <a:off x="3267075" y="29803725"/>
          <a:ext cx="76200" cy="76200"/>
        </a:xfrm>
        <a:prstGeom prst="flowChartConnector">
          <a:avLst/>
        </a:prstGeom>
        <a:solidFill>
          <a:srgbClr val="FFFFFF"/>
        </a:solidFill>
        <a:ln w="381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175</xdr:row>
      <xdr:rowOff>95250</xdr:rowOff>
    </xdr:from>
    <xdr:to>
      <xdr:col>9</xdr:col>
      <xdr:colOff>342900</xdr:colOff>
      <xdr:row>175</xdr:row>
      <xdr:rowOff>95250</xdr:rowOff>
    </xdr:to>
    <xdr:sp>
      <xdr:nvSpPr>
        <xdr:cNvPr id="41" name="Line 41"/>
        <xdr:cNvSpPr>
          <a:spLocks/>
        </xdr:cNvSpPr>
      </xdr:nvSpPr>
      <xdr:spPr>
        <a:xfrm flipH="1">
          <a:off x="3352800" y="291465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628650</xdr:colOff>
      <xdr:row>17</xdr:row>
      <xdr:rowOff>38100</xdr:rowOff>
    </xdr:from>
    <xdr:to>
      <xdr:col>28</xdr:col>
      <xdr:colOff>57150</xdr:colOff>
      <xdr:row>22</xdr:row>
      <xdr:rowOff>0</xdr:rowOff>
    </xdr:to>
    <xdr:sp>
      <xdr:nvSpPr>
        <xdr:cNvPr id="42" name="Line 42"/>
        <xdr:cNvSpPr>
          <a:spLocks/>
        </xdr:cNvSpPr>
      </xdr:nvSpPr>
      <xdr:spPr>
        <a:xfrm flipH="1" flipV="1">
          <a:off x="12477750" y="3171825"/>
          <a:ext cx="117157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400050</xdr:colOff>
      <xdr:row>17</xdr:row>
      <xdr:rowOff>38100</xdr:rowOff>
    </xdr:from>
    <xdr:to>
      <xdr:col>28</xdr:col>
      <xdr:colOff>66675</xdr:colOff>
      <xdr:row>21</xdr:row>
      <xdr:rowOff>133350</xdr:rowOff>
    </xdr:to>
    <xdr:sp>
      <xdr:nvSpPr>
        <xdr:cNvPr id="43" name="Line 43"/>
        <xdr:cNvSpPr>
          <a:spLocks/>
        </xdr:cNvSpPr>
      </xdr:nvSpPr>
      <xdr:spPr>
        <a:xfrm flipH="1" flipV="1">
          <a:off x="13230225" y="3171825"/>
          <a:ext cx="4286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228600</xdr:colOff>
      <xdr:row>17</xdr:row>
      <xdr:rowOff>19050</xdr:rowOff>
    </xdr:from>
    <xdr:to>
      <xdr:col>34</xdr:col>
      <xdr:colOff>95250</xdr:colOff>
      <xdr:row>21</xdr:row>
      <xdr:rowOff>152400</xdr:rowOff>
    </xdr:to>
    <xdr:sp>
      <xdr:nvSpPr>
        <xdr:cNvPr id="44" name="Line 44"/>
        <xdr:cNvSpPr>
          <a:spLocks/>
        </xdr:cNvSpPr>
      </xdr:nvSpPr>
      <xdr:spPr>
        <a:xfrm flipV="1">
          <a:off x="15649575" y="3152775"/>
          <a:ext cx="12954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146</xdr:row>
      <xdr:rowOff>66675</xdr:rowOff>
    </xdr:from>
    <xdr:to>
      <xdr:col>7</xdr:col>
      <xdr:colOff>276225</xdr:colOff>
      <xdr:row>151</xdr:row>
      <xdr:rowOff>57150</xdr:rowOff>
    </xdr:to>
    <xdr:grpSp>
      <xdr:nvGrpSpPr>
        <xdr:cNvPr id="45" name="Group 45"/>
        <xdr:cNvGrpSpPr>
          <a:grpSpLocks/>
        </xdr:cNvGrpSpPr>
      </xdr:nvGrpSpPr>
      <xdr:grpSpPr>
        <a:xfrm>
          <a:off x="1600200" y="24422100"/>
          <a:ext cx="1400175" cy="800100"/>
          <a:chOff x="168" y="2649"/>
          <a:chExt cx="147" cy="84"/>
        </a:xfrm>
        <a:solidFill>
          <a:srgbClr val="FFFFFF"/>
        </a:solidFill>
      </xdr:grpSpPr>
      <xdr:grpSp>
        <xdr:nvGrpSpPr>
          <xdr:cNvPr id="46" name="Group 46"/>
          <xdr:cNvGrpSpPr>
            <a:grpSpLocks/>
          </xdr:cNvGrpSpPr>
        </xdr:nvGrpSpPr>
        <xdr:grpSpPr>
          <a:xfrm>
            <a:off x="168" y="2649"/>
            <a:ext cx="136" cy="84"/>
            <a:chOff x="199" y="2637"/>
            <a:chExt cx="136" cy="84"/>
          </a:xfrm>
          <a:solidFill>
            <a:srgbClr val="FFFFFF"/>
          </a:solidFill>
        </xdr:grpSpPr>
        <xdr:sp>
          <xdr:nvSpPr>
            <xdr:cNvPr id="47" name="Polygon 47"/>
            <xdr:cNvSpPr>
              <a:spLocks/>
            </xdr:cNvSpPr>
          </xdr:nvSpPr>
          <xdr:spPr>
            <a:xfrm rot="5400000">
              <a:off x="283" y="2661"/>
              <a:ext cx="37" cy="33"/>
            </a:xfrm>
            <a:custGeom>
              <a:pathLst>
                <a:path h="119" w="50">
                  <a:moveTo>
                    <a:pt x="0" y="0"/>
                  </a:moveTo>
                  <a:lnTo>
                    <a:pt x="49" y="0"/>
                  </a:lnTo>
                  <a:lnTo>
                    <a:pt x="3" y="19"/>
                  </a:lnTo>
                  <a:lnTo>
                    <a:pt x="49" y="35"/>
                  </a:lnTo>
                  <a:lnTo>
                    <a:pt x="0" y="52"/>
                  </a:lnTo>
                  <a:lnTo>
                    <a:pt x="49" y="69"/>
                  </a:lnTo>
                  <a:lnTo>
                    <a:pt x="1" y="85"/>
                  </a:lnTo>
                  <a:lnTo>
                    <a:pt x="50" y="103"/>
                  </a:lnTo>
                  <a:lnTo>
                    <a:pt x="0" y="119"/>
                  </a:lnTo>
                  <a:lnTo>
                    <a:pt x="48" y="119"/>
                  </a:lnTo>
                </a:path>
              </a:pathLst>
            </a:custGeom>
            <a:noFill/>
            <a:ln w="2857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AutoShape 48"/>
            <xdr:cNvSpPr>
              <a:spLocks/>
            </xdr:cNvSpPr>
          </xdr:nvSpPr>
          <xdr:spPr>
            <a:xfrm flipH="1">
              <a:off x="324" y="2658"/>
              <a:ext cx="11" cy="39"/>
            </a:xfrm>
            <a:prstGeom prst="moon">
              <a:avLst>
                <a:gd name="adj" fmla="val 37500"/>
              </a:avLst>
            </a:prstGeom>
            <a:solidFill>
              <a:srgbClr val="FF99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49" name="Group 49"/>
            <xdr:cNvGrpSpPr>
              <a:grpSpLocks/>
            </xdr:cNvGrpSpPr>
          </xdr:nvGrpSpPr>
          <xdr:grpSpPr>
            <a:xfrm>
              <a:off x="259" y="2658"/>
              <a:ext cx="70" cy="42"/>
              <a:chOff x="654" y="2866"/>
              <a:chExt cx="59" cy="21"/>
            </a:xfrm>
            <a:solidFill>
              <a:srgbClr val="FFFFFF"/>
            </a:solidFill>
          </xdr:grpSpPr>
          <xdr:sp>
            <xdr:nvSpPr>
              <xdr:cNvPr id="50" name="Line 50"/>
              <xdr:cNvSpPr>
                <a:spLocks/>
              </xdr:cNvSpPr>
            </xdr:nvSpPr>
            <xdr:spPr>
              <a:xfrm flipH="1">
                <a:off x="654" y="2876"/>
                <a:ext cx="59" cy="0"/>
              </a:xfrm>
              <a:prstGeom prst="line">
                <a:avLst/>
              </a:prstGeom>
              <a:noFill/>
              <a:ln w="38100" cmpd="sng">
                <a:solidFill>
                  <a:srgbClr val="FF99CC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1" name="Line 51"/>
              <xdr:cNvSpPr>
                <a:spLocks/>
              </xdr:cNvSpPr>
            </xdr:nvSpPr>
            <xdr:spPr>
              <a:xfrm flipH="1">
                <a:off x="654" y="2866"/>
                <a:ext cx="0" cy="21"/>
              </a:xfrm>
              <a:prstGeom prst="line">
                <a:avLst/>
              </a:prstGeom>
              <a:noFill/>
              <a:ln w="38100" cmpd="sng">
                <a:solidFill>
                  <a:srgbClr val="FF99CC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52" name="AutoShape 52"/>
            <xdr:cNvSpPr>
              <a:spLocks/>
            </xdr:cNvSpPr>
          </xdr:nvSpPr>
          <xdr:spPr>
            <a:xfrm>
              <a:off x="272" y="2638"/>
              <a:ext cx="50" cy="82"/>
            </a:xfrm>
            <a:prstGeom prst="righ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Line 53"/>
            <xdr:cNvSpPr>
              <a:spLocks/>
            </xdr:cNvSpPr>
          </xdr:nvSpPr>
          <xdr:spPr>
            <a:xfrm>
              <a:off x="281" y="2637"/>
              <a:ext cx="0" cy="34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Line 54"/>
            <xdr:cNvSpPr>
              <a:spLocks/>
            </xdr:cNvSpPr>
          </xdr:nvSpPr>
          <xdr:spPr>
            <a:xfrm>
              <a:off x="281" y="2685"/>
              <a:ext cx="0" cy="34"/>
            </a:xfrm>
            <a:prstGeom prst="line">
              <a:avLst/>
            </a:prstGeom>
            <a:noFill/>
            <a:ln w="381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" name="AutoShape 55"/>
            <xdr:cNvSpPr>
              <a:spLocks/>
            </xdr:cNvSpPr>
          </xdr:nvSpPr>
          <xdr:spPr>
            <a:xfrm flipH="1">
              <a:off x="235" y="2638"/>
              <a:ext cx="36" cy="83"/>
            </a:xfrm>
            <a:prstGeom prst="rightBracke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Polygon 56"/>
            <xdr:cNvSpPr>
              <a:spLocks/>
            </xdr:cNvSpPr>
          </xdr:nvSpPr>
          <xdr:spPr>
            <a:xfrm>
              <a:off x="254" y="2638"/>
              <a:ext cx="10" cy="83"/>
            </a:xfrm>
            <a:custGeom>
              <a:pathLst>
                <a:path h="83" w="10">
                  <a:moveTo>
                    <a:pt x="10" y="0"/>
                  </a:moveTo>
                  <a:lnTo>
                    <a:pt x="0" y="23"/>
                  </a:lnTo>
                  <a:lnTo>
                    <a:pt x="0" y="61"/>
                  </a:lnTo>
                  <a:lnTo>
                    <a:pt x="10" y="83"/>
                  </a:lnTo>
                </a:path>
              </a:pathLst>
            </a:custGeom>
            <a:noFill/>
            <a:ln w="28575" cmpd="sng">
              <a:solidFill>
                <a:srgbClr val="993366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Line 57"/>
            <xdr:cNvSpPr>
              <a:spLocks/>
            </xdr:cNvSpPr>
          </xdr:nvSpPr>
          <xdr:spPr>
            <a:xfrm flipH="1">
              <a:off x="199" y="2671"/>
              <a:ext cx="3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Line 58"/>
            <xdr:cNvSpPr>
              <a:spLocks/>
            </xdr:cNvSpPr>
          </xdr:nvSpPr>
          <xdr:spPr>
            <a:xfrm flipH="1">
              <a:off x="199" y="2683"/>
              <a:ext cx="3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9" name="Line 59"/>
          <xdr:cNvSpPr>
            <a:spLocks/>
          </xdr:cNvSpPr>
        </xdr:nvSpPr>
        <xdr:spPr>
          <a:xfrm>
            <a:off x="297" y="2691"/>
            <a:ext cx="16" cy="0"/>
          </a:xfrm>
          <a:prstGeom prst="line">
            <a:avLst/>
          </a:prstGeom>
          <a:noFill/>
          <a:ln w="57150" cmpd="sng">
            <a:solidFill>
              <a:srgbClr val="FF99CC"/>
            </a:solidFill>
            <a:headEnd type="none"/>
            <a:tailEnd type="oval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Oval 60"/>
          <xdr:cNvSpPr>
            <a:spLocks/>
          </xdr:cNvSpPr>
        </xdr:nvSpPr>
        <xdr:spPr>
          <a:xfrm>
            <a:off x="311" y="2688"/>
            <a:ext cx="4" cy="5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9"/>
  <sheetViews>
    <sheetView workbookViewId="0" topLeftCell="A97">
      <selection activeCell="A216" sqref="A216:A219"/>
    </sheetView>
  </sheetViews>
  <sheetFormatPr defaultColWidth="11.421875" defaultRowHeight="12.75"/>
  <cols>
    <col min="1" max="2" width="8.7109375" style="1" customWidth="1"/>
    <col min="3" max="3" width="9.421875" style="2" bestFit="1" customWidth="1"/>
    <col min="4" max="4" width="8.7109375" style="2" customWidth="1"/>
    <col min="5" max="6" width="8.7109375" style="1" customWidth="1"/>
    <col min="7" max="7" width="11.00390625" style="2" bestFit="1" customWidth="1"/>
    <col min="8" max="8" width="8.7109375" style="2" customWidth="1"/>
    <col min="9" max="9" width="11.00390625" style="2" bestFit="1" customWidth="1"/>
    <col min="10" max="10" width="8.7109375" style="2" customWidth="1"/>
    <col min="11" max="11" width="11.00390625" style="1" bestFit="1" customWidth="1"/>
    <col min="12" max="12" width="11.00390625" style="2" bestFit="1" customWidth="1"/>
  </cols>
  <sheetData>
    <row r="1" spans="1:12" ht="12.75">
      <c r="A1" s="1" t="s">
        <v>1</v>
      </c>
      <c r="B1" s="40" t="s">
        <v>2</v>
      </c>
      <c r="C1" s="41" t="s">
        <v>3</v>
      </c>
      <c r="D1" s="42"/>
      <c r="E1" s="49" t="s">
        <v>5</v>
      </c>
      <c r="F1" s="43"/>
      <c r="G1" s="40" t="s">
        <v>7</v>
      </c>
      <c r="H1" s="145"/>
      <c r="I1" s="40" t="s">
        <v>7</v>
      </c>
      <c r="J1" s="43"/>
      <c r="K1" s="44" t="s">
        <v>7</v>
      </c>
      <c r="L1" s="44" t="s">
        <v>7</v>
      </c>
    </row>
    <row r="2" spans="1:12" ht="12.75">
      <c r="A2" s="1" t="s">
        <v>0</v>
      </c>
      <c r="B2" s="45" t="s">
        <v>21</v>
      </c>
      <c r="C2" s="46" t="s">
        <v>4</v>
      </c>
      <c r="D2" s="47"/>
      <c r="E2" s="45" t="s">
        <v>6</v>
      </c>
      <c r="F2" s="48"/>
      <c r="G2" s="46" t="s">
        <v>8</v>
      </c>
      <c r="H2" s="120" t="s">
        <v>20</v>
      </c>
      <c r="I2" s="46" t="s">
        <v>9</v>
      </c>
      <c r="J2" s="47"/>
      <c r="K2" s="27" t="s">
        <v>10</v>
      </c>
      <c r="L2" s="27" t="s">
        <v>11</v>
      </c>
    </row>
    <row r="3" spans="1:12" ht="12.75">
      <c r="A3" s="1">
        <v>2336</v>
      </c>
      <c r="B3" s="36">
        <v>23</v>
      </c>
      <c r="C3" s="25">
        <f>A3*B3/7160</f>
        <v>7.5039106145251395</v>
      </c>
      <c r="D3" s="16"/>
      <c r="E3" s="38">
        <v>15.1</v>
      </c>
      <c r="F3" s="17"/>
      <c r="G3" s="58">
        <f>E3/C3</f>
        <v>2.0122840976771887</v>
      </c>
      <c r="H3" s="16">
        <v>700</v>
      </c>
      <c r="I3" s="58">
        <f>G3/0.845</f>
        <v>2.3814012990262587</v>
      </c>
      <c r="J3" s="16"/>
      <c r="K3" s="60">
        <f>G3*1.36</f>
        <v>2.736706372840977</v>
      </c>
      <c r="L3" s="61">
        <f>K3/0.845</f>
        <v>3.2387057666757126</v>
      </c>
    </row>
    <row r="4" spans="1:12" ht="12.75">
      <c r="A4" s="1">
        <v>2311</v>
      </c>
      <c r="B4" s="36">
        <v>120</v>
      </c>
      <c r="C4" s="25">
        <f>A4*B4/7160</f>
        <v>38.73184357541899</v>
      </c>
      <c r="D4" s="16"/>
      <c r="E4" s="38">
        <v>19.4</v>
      </c>
      <c r="F4" s="17"/>
      <c r="G4" s="58">
        <f>E4/C4</f>
        <v>0.5008798499927881</v>
      </c>
      <c r="H4" s="16">
        <f>G4*1000</f>
        <v>500.87984999278814</v>
      </c>
      <c r="I4" s="58">
        <f>G4/0.845</f>
        <v>0.5927572189263765</v>
      </c>
      <c r="J4" s="16"/>
      <c r="K4" s="60">
        <f>G4*1.36</f>
        <v>0.6811965959901919</v>
      </c>
      <c r="L4" s="61">
        <f>K4/0.845</f>
        <v>0.806149817739872</v>
      </c>
    </row>
    <row r="5" spans="1:12" ht="12.75">
      <c r="A5" s="1">
        <v>2254</v>
      </c>
      <c r="B5" s="36">
        <v>304</v>
      </c>
      <c r="C5" s="25">
        <f aca="true" t="shared" si="0" ref="C5:C21">A5*B5/7160</f>
        <v>95.70055865921788</v>
      </c>
      <c r="D5" s="16"/>
      <c r="E5" s="38">
        <v>27.7</v>
      </c>
      <c r="F5" s="17"/>
      <c r="G5" s="58">
        <f aca="true" t="shared" si="1" ref="G5:G21">E5/C5</f>
        <v>0.2894444963340027</v>
      </c>
      <c r="H5" s="16">
        <f aca="true" t="shared" si="2" ref="H5:H21">G5*1000</f>
        <v>289.44449633400274</v>
      </c>
      <c r="I5" s="58">
        <f aca="true" t="shared" si="3" ref="I5:I21">G5/0.845</f>
        <v>0.34253786548402687</v>
      </c>
      <c r="J5" s="16"/>
      <c r="K5" s="60">
        <f aca="true" t="shared" si="4" ref="K5:K21">G5*1.36</f>
        <v>0.3936445150142437</v>
      </c>
      <c r="L5" s="61">
        <f aca="true" t="shared" si="5" ref="L5:L21">K5/0.845</f>
        <v>0.46585149705827655</v>
      </c>
    </row>
    <row r="6" spans="1:12" ht="12.75">
      <c r="A6" s="1">
        <v>2214</v>
      </c>
      <c r="B6" s="36">
        <v>377</v>
      </c>
      <c r="C6" s="25">
        <f t="shared" si="0"/>
        <v>116.57513966480447</v>
      </c>
      <c r="D6" s="16"/>
      <c r="E6" s="38">
        <v>30</v>
      </c>
      <c r="F6" s="17"/>
      <c r="G6" s="58">
        <f t="shared" si="1"/>
        <v>0.2573447485137981</v>
      </c>
      <c r="H6" s="16">
        <f t="shared" si="2"/>
        <v>257.34474851379815</v>
      </c>
      <c r="I6" s="58">
        <f t="shared" si="3"/>
        <v>0.30454999824118123</v>
      </c>
      <c r="J6" s="16"/>
      <c r="K6" s="60">
        <f t="shared" si="4"/>
        <v>0.3499888579787655</v>
      </c>
      <c r="L6" s="61">
        <f t="shared" si="5"/>
        <v>0.4141879976080065</v>
      </c>
    </row>
    <row r="7" spans="1:12" ht="12.75">
      <c r="A7" s="1">
        <v>2165</v>
      </c>
      <c r="B7" s="36">
        <v>418</v>
      </c>
      <c r="C7" s="25">
        <f t="shared" si="0"/>
        <v>126.39245810055866</v>
      </c>
      <c r="D7" s="16"/>
      <c r="E7" s="38">
        <v>30.5</v>
      </c>
      <c r="F7" s="17"/>
      <c r="G7" s="58">
        <f t="shared" si="1"/>
        <v>0.24131186669171353</v>
      </c>
      <c r="H7" s="16">
        <f t="shared" si="2"/>
        <v>241.31186669171353</v>
      </c>
      <c r="I7" s="58">
        <f t="shared" si="3"/>
        <v>0.285576173599661</v>
      </c>
      <c r="J7" s="16"/>
      <c r="K7" s="60">
        <f t="shared" si="4"/>
        <v>0.32818413870073043</v>
      </c>
      <c r="L7" s="61">
        <f t="shared" si="5"/>
        <v>0.38838359609553896</v>
      </c>
    </row>
    <row r="8" spans="1:12" ht="12.75">
      <c r="A8" s="1">
        <v>2100</v>
      </c>
      <c r="B8" s="36">
        <v>450</v>
      </c>
      <c r="C8" s="25">
        <f t="shared" si="0"/>
        <v>131.9832402234637</v>
      </c>
      <c r="D8" s="16"/>
      <c r="E8" s="38">
        <v>30.6</v>
      </c>
      <c r="F8" s="17"/>
      <c r="G8" s="58">
        <f t="shared" si="1"/>
        <v>0.23184761904761905</v>
      </c>
      <c r="H8" s="16">
        <f t="shared" si="2"/>
        <v>231.84761904761905</v>
      </c>
      <c r="I8" s="58">
        <f t="shared" si="3"/>
        <v>0.2743758805297267</v>
      </c>
      <c r="J8" s="16"/>
      <c r="K8" s="60">
        <f t="shared" si="4"/>
        <v>0.31531276190476193</v>
      </c>
      <c r="L8" s="61">
        <f t="shared" si="5"/>
        <v>0.37315119752042836</v>
      </c>
    </row>
    <row r="9" spans="1:12" ht="12.75">
      <c r="A9" s="1">
        <v>1994</v>
      </c>
      <c r="B9" s="36">
        <v>498</v>
      </c>
      <c r="C9" s="25">
        <f t="shared" si="0"/>
        <v>138.68882681564247</v>
      </c>
      <c r="D9" s="16"/>
      <c r="E9" s="38">
        <v>30.6</v>
      </c>
      <c r="F9" s="17"/>
      <c r="G9" s="58">
        <f t="shared" si="1"/>
        <v>0.22063781706565477</v>
      </c>
      <c r="H9" s="16">
        <f t="shared" si="2"/>
        <v>220.6378170656548</v>
      </c>
      <c r="I9" s="58">
        <f t="shared" si="3"/>
        <v>0.26110984268124826</v>
      </c>
      <c r="J9" s="16"/>
      <c r="K9" s="60">
        <f t="shared" si="4"/>
        <v>0.3000674312092905</v>
      </c>
      <c r="L9" s="61">
        <f t="shared" si="5"/>
        <v>0.35510938604649767</v>
      </c>
    </row>
    <row r="10" spans="1:12" ht="12.75">
      <c r="A10" s="1">
        <v>1892</v>
      </c>
      <c r="B10" s="36">
        <v>536</v>
      </c>
      <c r="C10" s="25">
        <f t="shared" si="0"/>
        <v>141.63575418994412</v>
      </c>
      <c r="D10" s="16"/>
      <c r="E10" s="38">
        <v>30.5</v>
      </c>
      <c r="F10" s="17"/>
      <c r="G10" s="58">
        <f t="shared" si="1"/>
        <v>0.21534110630778455</v>
      </c>
      <c r="H10" s="16">
        <f t="shared" si="2"/>
        <v>215.34110630778454</v>
      </c>
      <c r="I10" s="58">
        <f t="shared" si="3"/>
        <v>0.25484154592637226</v>
      </c>
      <c r="J10" s="16"/>
      <c r="K10" s="60">
        <f t="shared" si="4"/>
        <v>0.292863904578587</v>
      </c>
      <c r="L10" s="61">
        <f t="shared" si="5"/>
        <v>0.34658450245986633</v>
      </c>
    </row>
    <row r="11" spans="1:12" ht="12.75">
      <c r="A11" s="1">
        <v>1798</v>
      </c>
      <c r="B11" s="36">
        <v>571</v>
      </c>
      <c r="C11" s="25">
        <f t="shared" si="0"/>
        <v>143.38798882681564</v>
      </c>
      <c r="D11" s="16"/>
      <c r="E11" s="38">
        <v>29.8</v>
      </c>
      <c r="F11" s="17"/>
      <c r="G11" s="58">
        <f t="shared" si="1"/>
        <v>0.20782772841588923</v>
      </c>
      <c r="H11" s="16">
        <f t="shared" si="2"/>
        <v>207.82772841588923</v>
      </c>
      <c r="I11" s="58">
        <f t="shared" si="3"/>
        <v>0.24594997445667366</v>
      </c>
      <c r="J11" s="16"/>
      <c r="K11" s="60">
        <f t="shared" si="4"/>
        <v>0.2826457106456094</v>
      </c>
      <c r="L11" s="61">
        <f t="shared" si="5"/>
        <v>0.3344919652610762</v>
      </c>
    </row>
    <row r="12" spans="1:12" ht="12.75">
      <c r="A12" s="1">
        <v>1701</v>
      </c>
      <c r="B12" s="36">
        <v>598</v>
      </c>
      <c r="C12" s="25">
        <f t="shared" si="0"/>
        <v>142.06675977653632</v>
      </c>
      <c r="D12" s="16"/>
      <c r="E12" s="38">
        <v>29</v>
      </c>
      <c r="F12" s="17"/>
      <c r="G12" s="58">
        <f t="shared" si="1"/>
        <v>0.20412938287334423</v>
      </c>
      <c r="H12" s="16">
        <f t="shared" si="2"/>
        <v>204.12938287334424</v>
      </c>
      <c r="I12" s="58">
        <f t="shared" si="3"/>
        <v>0.24157323416963813</v>
      </c>
      <c r="J12" s="16"/>
      <c r="K12" s="60">
        <f t="shared" si="4"/>
        <v>0.2776159607077482</v>
      </c>
      <c r="L12" s="61">
        <f t="shared" si="5"/>
        <v>0.3285395984707079</v>
      </c>
    </row>
    <row r="13" spans="1:12" ht="12.75">
      <c r="A13" s="1">
        <v>1632</v>
      </c>
      <c r="B13" s="36">
        <v>614</v>
      </c>
      <c r="C13" s="25">
        <f t="shared" si="0"/>
        <v>139.9508379888268</v>
      </c>
      <c r="D13" s="16"/>
      <c r="E13" s="38">
        <v>28.4</v>
      </c>
      <c r="F13" s="17"/>
      <c r="G13" s="58">
        <f t="shared" si="1"/>
        <v>0.20292840263141088</v>
      </c>
      <c r="H13" s="16">
        <f t="shared" si="2"/>
        <v>202.92840263141088</v>
      </c>
      <c r="I13" s="58">
        <f t="shared" si="3"/>
        <v>0.2401519557768176</v>
      </c>
      <c r="J13" s="16"/>
      <c r="K13" s="60">
        <f t="shared" si="4"/>
        <v>0.27598262757871883</v>
      </c>
      <c r="L13" s="61">
        <f t="shared" si="5"/>
        <v>0.326606659856472</v>
      </c>
    </row>
    <row r="14" spans="1:12" ht="12.75">
      <c r="A14" s="1">
        <v>1607</v>
      </c>
      <c r="B14" s="36">
        <v>616</v>
      </c>
      <c r="C14" s="25">
        <f t="shared" si="0"/>
        <v>138.25586592178772</v>
      </c>
      <c r="D14" s="16"/>
      <c r="E14" s="38">
        <v>28</v>
      </c>
      <c r="F14" s="17"/>
      <c r="G14" s="58">
        <f t="shared" si="1"/>
        <v>0.20252305255416642</v>
      </c>
      <c r="H14" s="16">
        <f t="shared" si="2"/>
        <v>202.5230525541664</v>
      </c>
      <c r="I14" s="58">
        <f t="shared" si="3"/>
        <v>0.23967225154339222</v>
      </c>
      <c r="J14" s="16"/>
      <c r="K14" s="60">
        <f t="shared" si="4"/>
        <v>0.2754313514736663</v>
      </c>
      <c r="L14" s="61">
        <f t="shared" si="5"/>
        <v>0.3259542620990134</v>
      </c>
    </row>
    <row r="15" spans="1:12" ht="12.75">
      <c r="A15" s="1">
        <v>1554</v>
      </c>
      <c r="B15" s="36">
        <v>625</v>
      </c>
      <c r="C15" s="25">
        <f t="shared" si="0"/>
        <v>135.64944134078212</v>
      </c>
      <c r="D15" s="16"/>
      <c r="E15" s="38">
        <v>27.3</v>
      </c>
      <c r="F15" s="17"/>
      <c r="G15" s="58">
        <f t="shared" si="1"/>
        <v>0.20125405405405405</v>
      </c>
      <c r="H15" s="16">
        <f t="shared" si="2"/>
        <v>201.25405405405405</v>
      </c>
      <c r="I15" s="58">
        <f t="shared" si="3"/>
        <v>0.23817047817047818</v>
      </c>
      <c r="J15" s="16"/>
      <c r="K15" s="60">
        <f t="shared" si="4"/>
        <v>0.2737055135135135</v>
      </c>
      <c r="L15" s="61">
        <f t="shared" si="5"/>
        <v>0.3239118503118503</v>
      </c>
    </row>
    <row r="16" spans="1:12" ht="12.75">
      <c r="A16" s="1">
        <v>1505</v>
      </c>
      <c r="B16" s="36">
        <v>634</v>
      </c>
      <c r="C16" s="25">
        <f t="shared" si="0"/>
        <v>133.26396648044692</v>
      </c>
      <c r="D16" s="16"/>
      <c r="E16" s="38">
        <v>26.9</v>
      </c>
      <c r="F16" s="17"/>
      <c r="G16" s="58">
        <f t="shared" si="1"/>
        <v>0.20185501535365816</v>
      </c>
      <c r="H16" s="16">
        <f t="shared" si="2"/>
        <v>201.85501535365816</v>
      </c>
      <c r="I16" s="58">
        <f t="shared" si="3"/>
        <v>0.23888167497474339</v>
      </c>
      <c r="J16" s="16"/>
      <c r="K16" s="60">
        <f t="shared" si="4"/>
        <v>0.2745228208809751</v>
      </c>
      <c r="L16" s="61">
        <f t="shared" si="5"/>
        <v>0.3248790779656511</v>
      </c>
    </row>
    <row r="17" spans="1:12" ht="12.75">
      <c r="A17" s="1">
        <v>1457</v>
      </c>
      <c r="B17" s="36">
        <v>643</v>
      </c>
      <c r="C17" s="25">
        <f t="shared" si="0"/>
        <v>130.8451117318436</v>
      </c>
      <c r="D17" s="16"/>
      <c r="E17" s="38">
        <v>26.4</v>
      </c>
      <c r="F17" s="17"/>
      <c r="G17" s="58">
        <f t="shared" si="1"/>
        <v>0.20176527537463265</v>
      </c>
      <c r="H17" s="16">
        <f t="shared" si="2"/>
        <v>201.76527537463267</v>
      </c>
      <c r="I17" s="58">
        <f t="shared" si="3"/>
        <v>0.23877547381613332</v>
      </c>
      <c r="J17" s="16"/>
      <c r="K17" s="60">
        <f t="shared" si="4"/>
        <v>0.2744007745095004</v>
      </c>
      <c r="L17" s="61">
        <f t="shared" si="5"/>
        <v>0.3247346443899413</v>
      </c>
    </row>
    <row r="18" spans="1:12" ht="12.75">
      <c r="A18" s="1">
        <v>1400</v>
      </c>
      <c r="B18" s="36">
        <v>649</v>
      </c>
      <c r="C18" s="25">
        <f t="shared" si="0"/>
        <v>126.89944134078212</v>
      </c>
      <c r="D18" s="16"/>
      <c r="E18" s="38">
        <v>25.8</v>
      </c>
      <c r="F18" s="17"/>
      <c r="G18" s="58">
        <f t="shared" si="1"/>
        <v>0.2033105877173674</v>
      </c>
      <c r="H18" s="16">
        <f t="shared" si="2"/>
        <v>203.3105877173674</v>
      </c>
      <c r="I18" s="58">
        <f t="shared" si="3"/>
        <v>0.2406042458193697</v>
      </c>
      <c r="J18" s="16"/>
      <c r="K18" s="60">
        <f t="shared" si="4"/>
        <v>0.2765023992956197</v>
      </c>
      <c r="L18" s="61">
        <f t="shared" si="5"/>
        <v>0.32722177431434285</v>
      </c>
    </row>
    <row r="19" spans="1:12" ht="12.75">
      <c r="A19" s="1">
        <v>1347</v>
      </c>
      <c r="B19" s="36">
        <v>655</v>
      </c>
      <c r="C19" s="25">
        <f t="shared" si="0"/>
        <v>123.22416201117318</v>
      </c>
      <c r="D19" s="16"/>
      <c r="E19" s="38">
        <v>25.2</v>
      </c>
      <c r="F19" s="17"/>
      <c r="G19" s="58">
        <f t="shared" si="1"/>
        <v>0.2045053469117122</v>
      </c>
      <c r="H19" s="16">
        <f t="shared" si="2"/>
        <v>204.50534691171222</v>
      </c>
      <c r="I19" s="58">
        <f t="shared" si="3"/>
        <v>0.24201816202569493</v>
      </c>
      <c r="J19" s="16"/>
      <c r="K19" s="60">
        <f t="shared" si="4"/>
        <v>0.27812727179992863</v>
      </c>
      <c r="L19" s="61">
        <f t="shared" si="5"/>
        <v>0.32914470035494514</v>
      </c>
    </row>
    <row r="20" spans="1:12" ht="12.75">
      <c r="A20" s="1">
        <v>1286</v>
      </c>
      <c r="B20" s="36">
        <v>657</v>
      </c>
      <c r="C20" s="25">
        <f t="shared" si="0"/>
        <v>118.00307262569832</v>
      </c>
      <c r="D20" s="16"/>
      <c r="E20" s="38">
        <v>24.4</v>
      </c>
      <c r="F20" s="17"/>
      <c r="G20" s="58">
        <f t="shared" si="1"/>
        <v>0.2067742767800289</v>
      </c>
      <c r="H20" s="16">
        <f t="shared" si="2"/>
        <v>206.7742767800289</v>
      </c>
      <c r="I20" s="58">
        <f t="shared" si="3"/>
        <v>0.24470328613021172</v>
      </c>
      <c r="J20" s="16"/>
      <c r="K20" s="60">
        <f t="shared" si="4"/>
        <v>0.28121301642083935</v>
      </c>
      <c r="L20" s="61">
        <f t="shared" si="5"/>
        <v>0.332796469137088</v>
      </c>
    </row>
    <row r="21" spans="1:12" ht="13.5" thickBot="1">
      <c r="A21" s="1">
        <v>1225</v>
      </c>
      <c r="B21" s="37">
        <v>656</v>
      </c>
      <c r="C21" s="26">
        <f t="shared" si="0"/>
        <v>112.23463687150839</v>
      </c>
      <c r="D21" s="16"/>
      <c r="E21" s="39">
        <v>23.6</v>
      </c>
      <c r="F21" s="17"/>
      <c r="G21" s="59">
        <f t="shared" si="1"/>
        <v>0.21027376804380288</v>
      </c>
      <c r="H21" s="18">
        <f t="shared" si="2"/>
        <v>210.27376804380287</v>
      </c>
      <c r="I21" s="59">
        <f t="shared" si="3"/>
        <v>0.24884469590982589</v>
      </c>
      <c r="J21" s="18"/>
      <c r="K21" s="62">
        <f t="shared" si="4"/>
        <v>0.28597232453957194</v>
      </c>
      <c r="L21" s="63">
        <f t="shared" si="5"/>
        <v>0.33842878643736324</v>
      </c>
    </row>
    <row r="22" spans="9:11" ht="13.5" thickBot="1">
      <c r="I22" s="144" t="s">
        <v>52</v>
      </c>
      <c r="K22" s="2"/>
    </row>
    <row r="23" spans="3:12" ht="13.5" thickBot="1">
      <c r="C23" s="29">
        <v>100</v>
      </c>
      <c r="D23" s="30">
        <v>200</v>
      </c>
      <c r="E23" s="31">
        <v>300</v>
      </c>
      <c r="F23" s="31">
        <v>400</v>
      </c>
      <c r="G23" s="32">
        <v>500</v>
      </c>
      <c r="H23" s="146" t="s">
        <v>53</v>
      </c>
      <c r="I23" s="147"/>
      <c r="J23" s="147"/>
      <c r="K23" s="147"/>
      <c r="L23" s="16"/>
    </row>
    <row r="24" spans="1:12" ht="12.75">
      <c r="A24" s="1">
        <v>2350</v>
      </c>
      <c r="B24" s="33">
        <v>12</v>
      </c>
      <c r="C24" s="16"/>
      <c r="D24" s="23"/>
      <c r="E24" s="21"/>
      <c r="F24" s="21"/>
      <c r="G24" s="19"/>
      <c r="H24" s="16"/>
      <c r="I24" s="16"/>
      <c r="J24" s="16"/>
      <c r="K24" s="17"/>
      <c r="L24" s="16"/>
    </row>
    <row r="25" spans="1:12" ht="13.5" thickBot="1">
      <c r="A25" s="1">
        <v>2200</v>
      </c>
      <c r="B25" s="34">
        <v>10.6</v>
      </c>
      <c r="C25" s="18"/>
      <c r="D25" s="24"/>
      <c r="E25" s="22"/>
      <c r="F25" s="22"/>
      <c r="G25" s="20"/>
      <c r="H25" s="28"/>
      <c r="I25" s="16"/>
      <c r="J25" s="16"/>
      <c r="K25" s="17"/>
      <c r="L25" s="16"/>
    </row>
    <row r="26" spans="1:12" ht="12.75">
      <c r="A26" s="1">
        <v>2000</v>
      </c>
      <c r="B26" s="34">
        <v>8.7</v>
      </c>
      <c r="C26" s="12">
        <v>13.3</v>
      </c>
      <c r="D26" s="6">
        <v>17.3</v>
      </c>
      <c r="E26" s="15">
        <v>21.7</v>
      </c>
      <c r="F26" s="15">
        <v>26.2</v>
      </c>
      <c r="G26" s="7">
        <v>30.3</v>
      </c>
      <c r="H26" s="71">
        <f>C26/(A26*100/7160)</f>
        <v>0.47614000000000006</v>
      </c>
      <c r="I26" s="72">
        <f>D26/(A26*200/7160)</f>
        <v>0.30967</v>
      </c>
      <c r="J26" s="72">
        <f>E26/(A26*300/7160)</f>
        <v>0.2589533333333333</v>
      </c>
      <c r="K26" s="72">
        <f>F26/(A26*400/7160)</f>
        <v>0.23449</v>
      </c>
      <c r="L26" s="73">
        <f>G26/(A26*500/7160)</f>
        <v>0.216948</v>
      </c>
    </row>
    <row r="27" spans="1:12" ht="12.75">
      <c r="A27" s="1">
        <v>1800</v>
      </c>
      <c r="B27" s="34">
        <v>7.2</v>
      </c>
      <c r="C27" s="13">
        <v>11.1</v>
      </c>
      <c r="D27" s="4">
        <v>15</v>
      </c>
      <c r="E27" s="3">
        <v>18.9</v>
      </c>
      <c r="F27" s="3">
        <v>22</v>
      </c>
      <c r="G27" s="8">
        <v>26.2</v>
      </c>
      <c r="H27" s="74">
        <f>C27/(A27*100/7160)</f>
        <v>0.44153333333333333</v>
      </c>
      <c r="I27" s="75">
        <f>D27/(A27*200/7160)</f>
        <v>0.29833333333333334</v>
      </c>
      <c r="J27" s="75">
        <f>E27/(A27*300/7160)</f>
        <v>0.2506</v>
      </c>
      <c r="K27" s="75">
        <f>F27/(A27*400/7160)</f>
        <v>0.2187777777777778</v>
      </c>
      <c r="L27" s="76">
        <f>G27/(A27*500/7160)</f>
        <v>0.20843555555555554</v>
      </c>
    </row>
    <row r="28" spans="1:12" ht="12.75">
      <c r="A28" s="1">
        <v>1600</v>
      </c>
      <c r="B28" s="34">
        <v>5.9</v>
      </c>
      <c r="C28" s="13">
        <v>9</v>
      </c>
      <c r="D28" s="4">
        <v>12.5</v>
      </c>
      <c r="E28" s="3">
        <v>15.9</v>
      </c>
      <c r="F28" s="3">
        <v>19.9</v>
      </c>
      <c r="G28" s="8">
        <v>23</v>
      </c>
      <c r="H28" s="74">
        <f>C28/(A28*100/7160)</f>
        <v>0.40275</v>
      </c>
      <c r="I28" s="75">
        <f>D28/(A28*200/7160)</f>
        <v>0.27968750000000003</v>
      </c>
      <c r="J28" s="75">
        <f>E28/(A28*300/7160)</f>
        <v>0.237175</v>
      </c>
      <c r="K28" s="75">
        <f>F28/(A28*400/7160)</f>
        <v>0.22263124999999997</v>
      </c>
      <c r="L28" s="76">
        <f>G28/(A28*500/7160)</f>
        <v>0.20585</v>
      </c>
    </row>
    <row r="29" spans="1:12" ht="13.5" thickBot="1">
      <c r="A29" s="1">
        <v>1400</v>
      </c>
      <c r="B29" s="34">
        <v>4.8</v>
      </c>
      <c r="C29" s="14" t="s">
        <v>17</v>
      </c>
      <c r="D29" s="9"/>
      <c r="E29" s="10"/>
      <c r="F29" s="10"/>
      <c r="G29" s="11"/>
      <c r="H29" s="148" t="s">
        <v>18</v>
      </c>
      <c r="I29" s="149"/>
      <c r="J29" s="149"/>
      <c r="K29" s="44"/>
      <c r="L29" s="150"/>
    </row>
    <row r="30" spans="1:12" ht="12.75">
      <c r="A30" s="1">
        <v>1200</v>
      </c>
      <c r="B30" s="34">
        <v>3.8</v>
      </c>
      <c r="H30" s="151">
        <v>476</v>
      </c>
      <c r="I30" s="152">
        <v>310</v>
      </c>
      <c r="J30" s="152">
        <v>259</v>
      </c>
      <c r="K30" s="152">
        <v>234</v>
      </c>
      <c r="L30" s="153">
        <v>217</v>
      </c>
    </row>
    <row r="31" spans="1:12" ht="12.75">
      <c r="A31" s="1">
        <v>1000</v>
      </c>
      <c r="B31" s="34">
        <v>3.15</v>
      </c>
      <c r="H31" s="154">
        <v>442</v>
      </c>
      <c r="I31" s="155">
        <v>298</v>
      </c>
      <c r="J31" s="155">
        <v>251</v>
      </c>
      <c r="K31" s="155">
        <v>219</v>
      </c>
      <c r="L31" s="156">
        <v>208</v>
      </c>
    </row>
    <row r="32" spans="1:12" ht="12.75">
      <c r="A32" s="1">
        <v>800</v>
      </c>
      <c r="B32" s="34">
        <v>2.4</v>
      </c>
      <c r="H32" s="154">
        <v>403</v>
      </c>
      <c r="I32" s="155">
        <v>280</v>
      </c>
      <c r="J32" s="155">
        <v>237</v>
      </c>
      <c r="K32" s="155">
        <v>223</v>
      </c>
      <c r="L32" s="156">
        <v>206</v>
      </c>
    </row>
    <row r="33" spans="1:12" ht="12.75">
      <c r="A33" s="1">
        <v>720</v>
      </c>
      <c r="B33" s="34">
        <v>2.1</v>
      </c>
      <c r="H33" s="157" t="s">
        <v>54</v>
      </c>
      <c r="I33" s="158"/>
      <c r="J33" s="158"/>
      <c r="K33" s="159"/>
      <c r="L33" s="160"/>
    </row>
    <row r="34" spans="2:12" ht="13.5" thickBot="1">
      <c r="B34" s="35" t="s">
        <v>19</v>
      </c>
      <c r="H34" s="161" t="s">
        <v>55</v>
      </c>
      <c r="I34" s="162"/>
      <c r="J34" s="162"/>
      <c r="K34" s="163"/>
      <c r="L34" s="164"/>
    </row>
    <row r="35" ht="12.75"/>
    <row r="37" spans="1:12" ht="12.75">
      <c r="A37" s="3"/>
      <c r="B37" s="3"/>
      <c r="C37" s="75">
        <f>C39/C38</f>
        <v>0.41264797507788165</v>
      </c>
      <c r="D37" s="75">
        <f>D39/D38</f>
        <v>0.29057262286433183</v>
      </c>
      <c r="E37" s="75">
        <f>E39/E38</f>
        <v>0.2401916932907348</v>
      </c>
      <c r="F37" s="75">
        <f>F39/F38</f>
        <v>0.22031293051722908</v>
      </c>
      <c r="G37" s="75">
        <f>G39/G38</f>
        <v>0.2110433478572449</v>
      </c>
      <c r="H37" s="4" t="s">
        <v>12</v>
      </c>
      <c r="I37" s="5" t="s">
        <v>14</v>
      </c>
      <c r="J37" s="4"/>
      <c r="K37" s="3"/>
      <c r="L37" s="4"/>
    </row>
    <row r="38" spans="1:12" ht="12.75">
      <c r="A38" s="3"/>
      <c r="B38" s="3"/>
      <c r="C38" s="4">
        <f>1800*107/7160</f>
        <v>26.899441340782122</v>
      </c>
      <c r="D38" s="4">
        <f>1803*205/7160</f>
        <v>51.622206703910614</v>
      </c>
      <c r="E38" s="4">
        <f>1800*313/7160</f>
        <v>78.68715083798882</v>
      </c>
      <c r="F38" s="4">
        <f>1783*401/7160</f>
        <v>99.85796089385475</v>
      </c>
      <c r="G38" s="4">
        <f>1803*493/7160</f>
        <v>124.14511173184357</v>
      </c>
      <c r="H38" s="4" t="s">
        <v>12</v>
      </c>
      <c r="I38" s="5" t="s">
        <v>15</v>
      </c>
      <c r="J38" s="4"/>
      <c r="K38" s="3"/>
      <c r="L38" s="4"/>
    </row>
    <row r="39" spans="1:12" ht="12.75">
      <c r="A39" s="3">
        <v>1800</v>
      </c>
      <c r="B39" s="3">
        <v>7.2</v>
      </c>
      <c r="C39" s="4">
        <v>11.1</v>
      </c>
      <c r="D39" s="4">
        <v>15</v>
      </c>
      <c r="E39" s="3">
        <v>18.9</v>
      </c>
      <c r="F39" s="3">
        <v>22</v>
      </c>
      <c r="G39" s="4">
        <v>26.2</v>
      </c>
      <c r="H39" s="4" t="s">
        <v>12</v>
      </c>
      <c r="I39" s="5" t="s">
        <v>16</v>
      </c>
      <c r="J39" s="4"/>
      <c r="K39" s="3"/>
      <c r="L39" s="4"/>
    </row>
    <row r="40" spans="1:12" ht="12.75">
      <c r="A40" s="3"/>
      <c r="B40" s="3"/>
      <c r="C40" s="4"/>
      <c r="D40" s="4"/>
      <c r="E40" s="3"/>
      <c r="F40" s="3"/>
      <c r="G40" s="4"/>
      <c r="H40" s="4"/>
      <c r="I40" s="4"/>
      <c r="J40" s="4"/>
      <c r="K40" s="3"/>
      <c r="L40" s="4"/>
    </row>
    <row r="41" spans="1:12" ht="12.75">
      <c r="A41" s="3">
        <v>1800</v>
      </c>
      <c r="B41" s="3"/>
      <c r="C41" s="4">
        <v>10.6</v>
      </c>
      <c r="D41" s="4">
        <v>14.2</v>
      </c>
      <c r="E41" s="3">
        <v>18.1</v>
      </c>
      <c r="F41" s="3">
        <v>21.9</v>
      </c>
      <c r="G41" s="4">
        <v>26</v>
      </c>
      <c r="H41" s="5" t="s">
        <v>13</v>
      </c>
      <c r="I41" s="4"/>
      <c r="J41" s="5" t="s">
        <v>16</v>
      </c>
      <c r="K41" s="3"/>
      <c r="L41" s="4"/>
    </row>
    <row r="42" spans="1:12" ht="12.75">
      <c r="A42" s="3"/>
      <c r="B42" s="3"/>
      <c r="C42" s="4">
        <f>1800*102/7160</f>
        <v>25.64245810055866</v>
      </c>
      <c r="D42" s="4">
        <f>1782*205/7160</f>
        <v>51.020949720670394</v>
      </c>
      <c r="E42" s="4">
        <f>1795*303.5/7160</f>
        <v>76.08694134078212</v>
      </c>
      <c r="F42" s="4">
        <f>1807*392.5/7160</f>
        <v>99.05691340782123</v>
      </c>
      <c r="G42" s="4">
        <f>1795*500/7160</f>
        <v>125.34916201117318</v>
      </c>
      <c r="H42" s="5" t="s">
        <v>13</v>
      </c>
      <c r="I42" s="4"/>
      <c r="J42" s="5" t="s">
        <v>15</v>
      </c>
      <c r="K42" s="3"/>
      <c r="L42" s="4"/>
    </row>
    <row r="43" spans="1:12" ht="12.75">
      <c r="A43" s="3"/>
      <c r="B43" s="3"/>
      <c r="C43" s="75">
        <f>C41/C42</f>
        <v>0.41337690631808277</v>
      </c>
      <c r="D43" s="75">
        <f>D41/D42</f>
        <v>0.27831704579672056</v>
      </c>
      <c r="E43" s="75">
        <f>E41/E42</f>
        <v>0.2378857617489549</v>
      </c>
      <c r="F43" s="75">
        <f>F41/F42</f>
        <v>0.22108502321122034</v>
      </c>
      <c r="G43" s="75">
        <f>G41/G42</f>
        <v>0.2074206128133705</v>
      </c>
      <c r="H43" s="5" t="s">
        <v>13</v>
      </c>
      <c r="I43" s="4"/>
      <c r="J43" s="5" t="s">
        <v>14</v>
      </c>
      <c r="K43" s="3"/>
      <c r="L43" s="4"/>
    </row>
    <row r="44" spans="1:12" ht="12.75">
      <c r="A44" s="3"/>
      <c r="B44" s="3"/>
      <c r="C44" s="4"/>
      <c r="D44" s="4"/>
      <c r="E44" s="3"/>
      <c r="F44" s="3"/>
      <c r="G44" s="4"/>
      <c r="H44" s="4"/>
      <c r="I44" s="4"/>
      <c r="J44" s="4"/>
      <c r="K44" s="3"/>
      <c r="L44" s="4"/>
    </row>
    <row r="45" spans="1:12" ht="12.75">
      <c r="A45" s="3"/>
      <c r="B45" s="3"/>
      <c r="C45" s="4"/>
      <c r="D45" s="4"/>
      <c r="E45" s="3"/>
      <c r="F45" s="3"/>
      <c r="G45" s="4"/>
      <c r="H45" s="4"/>
      <c r="I45" s="4"/>
      <c r="J45" s="4"/>
      <c r="K45" s="3"/>
      <c r="L45" s="4"/>
    </row>
    <row r="46" spans="1:12" ht="12.75">
      <c r="A46" s="3"/>
      <c r="B46" s="3"/>
      <c r="C46" s="4"/>
      <c r="D46" s="4"/>
      <c r="E46" s="3"/>
      <c r="F46" s="3"/>
      <c r="G46" s="4"/>
      <c r="H46" s="4"/>
      <c r="I46" s="4"/>
      <c r="J46" s="4"/>
      <c r="K46" s="3"/>
      <c r="L46" s="4"/>
    </row>
    <row r="47" spans="1:12" ht="12.75">
      <c r="A47" s="3"/>
      <c r="B47" s="3"/>
      <c r="C47" s="4"/>
      <c r="D47" s="4"/>
      <c r="E47" s="3"/>
      <c r="F47" s="3"/>
      <c r="G47" s="4"/>
      <c r="H47" s="4"/>
      <c r="I47" s="4"/>
      <c r="J47" s="4"/>
      <c r="K47" s="3"/>
      <c r="L47" s="4"/>
    </row>
    <row r="48" ht="12.75">
      <c r="A48" s="17" t="s">
        <v>0</v>
      </c>
    </row>
    <row r="49" spans="1:8" ht="12.75">
      <c r="A49" s="17" t="s">
        <v>0</v>
      </c>
      <c r="B49" s="17"/>
      <c r="C49" s="17" t="s">
        <v>21</v>
      </c>
      <c r="D49" s="17" t="s">
        <v>22</v>
      </c>
      <c r="E49" s="17" t="s">
        <v>23</v>
      </c>
      <c r="F49" s="17" t="s">
        <v>24</v>
      </c>
      <c r="G49" s="17"/>
      <c r="H49" s="17"/>
    </row>
    <row r="50" spans="1:8" ht="15.75">
      <c r="A50" s="17">
        <v>2360</v>
      </c>
      <c r="B50" s="50">
        <v>12</v>
      </c>
      <c r="C50" s="50">
        <v>0</v>
      </c>
      <c r="D50" s="17">
        <v>0</v>
      </c>
      <c r="E50" s="50">
        <v>12</v>
      </c>
      <c r="F50" s="51" t="s">
        <v>25</v>
      </c>
      <c r="G50" s="57">
        <v>0</v>
      </c>
      <c r="H50" s="17"/>
    </row>
    <row r="51" spans="1:8" ht="12.75">
      <c r="A51" s="17">
        <v>2336</v>
      </c>
      <c r="B51" s="50"/>
      <c r="C51" s="52">
        <v>23</v>
      </c>
      <c r="D51" s="16">
        <f>C51*A51/7160</f>
        <v>7.5039106145251395</v>
      </c>
      <c r="E51" s="53">
        <v>15.1</v>
      </c>
      <c r="F51" s="54">
        <f aca="true" t="shared" si="6" ref="F51:F56">E51/D51</f>
        <v>2.0122840976771887</v>
      </c>
      <c r="G51" s="57">
        <v>2.3</v>
      </c>
      <c r="H51" s="17"/>
    </row>
    <row r="52" spans="1:8" ht="12.75">
      <c r="A52" s="17">
        <v>2311</v>
      </c>
      <c r="B52" s="50"/>
      <c r="C52" s="52">
        <v>120</v>
      </c>
      <c r="D52" s="16">
        <f aca="true" t="shared" si="7" ref="D52:D69">C52*A52/7160</f>
        <v>38.73184357541899</v>
      </c>
      <c r="E52" s="53">
        <v>19.4</v>
      </c>
      <c r="F52" s="54">
        <f t="shared" si="6"/>
        <v>0.5008798499927881</v>
      </c>
      <c r="G52" s="57">
        <v>12</v>
      </c>
      <c r="H52" s="17"/>
    </row>
    <row r="53" spans="1:8" ht="12.75">
      <c r="A53" s="17">
        <v>2254</v>
      </c>
      <c r="B53" s="50"/>
      <c r="C53" s="52">
        <v>304</v>
      </c>
      <c r="D53" s="16">
        <f t="shared" si="7"/>
        <v>95.70055865921788</v>
      </c>
      <c r="E53" s="53">
        <v>27.7</v>
      </c>
      <c r="F53" s="54">
        <f t="shared" si="6"/>
        <v>0.2894444963340027</v>
      </c>
      <c r="G53" s="57">
        <v>30.4</v>
      </c>
      <c r="H53" s="17"/>
    </row>
    <row r="54" spans="1:8" ht="12.75">
      <c r="A54" s="17">
        <v>2214</v>
      </c>
      <c r="B54" s="50">
        <v>10.6</v>
      </c>
      <c r="C54" s="52">
        <v>377</v>
      </c>
      <c r="D54" s="16">
        <f t="shared" si="7"/>
        <v>116.57513966480447</v>
      </c>
      <c r="E54" s="53">
        <v>30</v>
      </c>
      <c r="F54" s="54">
        <f t="shared" si="6"/>
        <v>0.2573447485137981</v>
      </c>
      <c r="G54" s="57">
        <v>37.7</v>
      </c>
      <c r="H54" s="17"/>
    </row>
    <row r="55" spans="1:13" ht="12.75">
      <c r="A55" s="17">
        <v>2165</v>
      </c>
      <c r="B55" s="50"/>
      <c r="C55" s="52">
        <v>418</v>
      </c>
      <c r="D55" s="16">
        <f t="shared" si="7"/>
        <v>126.39245810055866</v>
      </c>
      <c r="E55" s="53">
        <v>30.5</v>
      </c>
      <c r="F55" s="54">
        <f t="shared" si="6"/>
        <v>0.24131186669171353</v>
      </c>
      <c r="G55" s="57">
        <v>41.8</v>
      </c>
      <c r="H55" s="17"/>
      <c r="M55" s="79"/>
    </row>
    <row r="56" spans="1:8" ht="12.75">
      <c r="A56" s="17">
        <v>2100</v>
      </c>
      <c r="B56" s="50"/>
      <c r="C56" s="52">
        <v>450</v>
      </c>
      <c r="D56" s="16">
        <f t="shared" si="7"/>
        <v>131.9832402234637</v>
      </c>
      <c r="E56" s="53">
        <v>30.6</v>
      </c>
      <c r="F56" s="54">
        <f t="shared" si="6"/>
        <v>0.23184761904761905</v>
      </c>
      <c r="G56" s="57">
        <v>45</v>
      </c>
      <c r="H56" s="17"/>
    </row>
    <row r="57" spans="1:8" ht="12.75">
      <c r="A57" s="17">
        <v>1994</v>
      </c>
      <c r="B57" s="50">
        <v>8.7</v>
      </c>
      <c r="C57" s="52">
        <v>498</v>
      </c>
      <c r="D57" s="16">
        <f t="shared" si="7"/>
        <v>138.68882681564247</v>
      </c>
      <c r="E57" s="53">
        <v>30.6</v>
      </c>
      <c r="F57" s="54">
        <f>E57/D57</f>
        <v>0.22063781706565477</v>
      </c>
      <c r="G57" s="66">
        <v>49.8</v>
      </c>
      <c r="H57" s="16"/>
    </row>
    <row r="58" spans="1:8" ht="12.75">
      <c r="A58" s="17">
        <v>1892</v>
      </c>
      <c r="B58" s="55"/>
      <c r="C58" s="52">
        <v>536</v>
      </c>
      <c r="D58" s="16">
        <f t="shared" si="7"/>
        <v>141.63575418994412</v>
      </c>
      <c r="E58" s="53">
        <v>30.5</v>
      </c>
      <c r="F58" s="54">
        <f aca="true" t="shared" si="8" ref="F58:F69">E58/D58</f>
        <v>0.21534110630778455</v>
      </c>
      <c r="G58" s="66">
        <v>53.6</v>
      </c>
      <c r="H58" s="16"/>
    </row>
    <row r="59" spans="1:8" ht="12.75">
      <c r="A59" s="17">
        <v>1798</v>
      </c>
      <c r="B59" s="50">
        <v>7.2</v>
      </c>
      <c r="C59" s="52">
        <v>571</v>
      </c>
      <c r="D59" s="16">
        <f t="shared" si="7"/>
        <v>143.38798882681564</v>
      </c>
      <c r="E59" s="53">
        <v>29.8</v>
      </c>
      <c r="F59" s="54">
        <f t="shared" si="8"/>
        <v>0.20782772841588923</v>
      </c>
      <c r="G59" s="57">
        <v>57.1</v>
      </c>
      <c r="H59" s="17"/>
    </row>
    <row r="60" spans="1:8" ht="12.75">
      <c r="A60" s="17">
        <v>1701</v>
      </c>
      <c r="B60" s="50"/>
      <c r="C60" s="52">
        <v>598</v>
      </c>
      <c r="D60" s="16">
        <f t="shared" si="7"/>
        <v>142.06675977653632</v>
      </c>
      <c r="E60" s="53">
        <v>29</v>
      </c>
      <c r="F60" s="54">
        <f t="shared" si="8"/>
        <v>0.20412938287334423</v>
      </c>
      <c r="G60" s="57">
        <v>59.8</v>
      </c>
      <c r="H60" s="17"/>
    </row>
    <row r="61" spans="1:8" ht="12.75">
      <c r="A61" s="17">
        <v>1632</v>
      </c>
      <c r="B61" s="55"/>
      <c r="C61" s="52">
        <v>614</v>
      </c>
      <c r="D61" s="16">
        <f t="shared" si="7"/>
        <v>139.9508379888268</v>
      </c>
      <c r="E61" s="53">
        <v>28.4</v>
      </c>
      <c r="F61" s="54">
        <f t="shared" si="8"/>
        <v>0.20292840263141088</v>
      </c>
      <c r="G61" s="57">
        <v>61.4</v>
      </c>
      <c r="H61" s="17"/>
    </row>
    <row r="62" spans="1:8" ht="12.75">
      <c r="A62" s="17">
        <v>1607</v>
      </c>
      <c r="B62" s="50">
        <v>5.9</v>
      </c>
      <c r="C62" s="52">
        <v>616</v>
      </c>
      <c r="D62" s="16">
        <f t="shared" si="7"/>
        <v>138.25586592178772</v>
      </c>
      <c r="E62" s="53">
        <v>28</v>
      </c>
      <c r="F62" s="54">
        <f t="shared" si="8"/>
        <v>0.20252305255416642</v>
      </c>
      <c r="G62" s="57">
        <v>61.6</v>
      </c>
      <c r="H62" s="17"/>
    </row>
    <row r="63" spans="1:8" ht="12.75">
      <c r="A63" s="17">
        <v>1554</v>
      </c>
      <c r="B63" s="56"/>
      <c r="C63" s="52">
        <v>625</v>
      </c>
      <c r="D63" s="16">
        <f t="shared" si="7"/>
        <v>135.64944134078212</v>
      </c>
      <c r="E63" s="53">
        <v>27.3</v>
      </c>
      <c r="F63" s="54">
        <f t="shared" si="8"/>
        <v>0.20125405405405405</v>
      </c>
      <c r="G63" s="57">
        <v>62.5</v>
      </c>
      <c r="H63" s="17"/>
    </row>
    <row r="64" spans="1:8" ht="12.75">
      <c r="A64" s="17">
        <v>1505</v>
      </c>
      <c r="B64" s="50"/>
      <c r="C64" s="52">
        <v>634</v>
      </c>
      <c r="D64" s="16">
        <f t="shared" si="7"/>
        <v>133.26396648044692</v>
      </c>
      <c r="E64" s="53">
        <v>26.9</v>
      </c>
      <c r="F64" s="54">
        <f t="shared" si="8"/>
        <v>0.20185501535365816</v>
      </c>
      <c r="G64" s="57">
        <v>63.4</v>
      </c>
      <c r="H64" s="55"/>
    </row>
    <row r="65" spans="1:8" ht="12.75">
      <c r="A65" s="17">
        <v>1457</v>
      </c>
      <c r="B65" s="50"/>
      <c r="C65" s="52">
        <v>643</v>
      </c>
      <c r="D65" s="16">
        <f t="shared" si="7"/>
        <v>130.8451117318436</v>
      </c>
      <c r="E65" s="53">
        <v>26.4</v>
      </c>
      <c r="F65" s="54">
        <f t="shared" si="8"/>
        <v>0.20176527537463265</v>
      </c>
      <c r="G65" s="57">
        <v>64.3</v>
      </c>
      <c r="H65" s="17"/>
    </row>
    <row r="66" spans="1:8" ht="12.75">
      <c r="A66" s="17">
        <v>1400</v>
      </c>
      <c r="B66" s="50">
        <v>4.8</v>
      </c>
      <c r="C66" s="52">
        <v>649</v>
      </c>
      <c r="D66" s="16">
        <f>C66*A66/7160</f>
        <v>126.89944134078212</v>
      </c>
      <c r="E66" s="53">
        <v>25.8</v>
      </c>
      <c r="F66" s="54">
        <f t="shared" si="8"/>
        <v>0.2033105877173674</v>
      </c>
      <c r="G66" s="57">
        <v>64.9</v>
      </c>
      <c r="H66" s="17"/>
    </row>
    <row r="67" spans="1:8" ht="12.75">
      <c r="A67" s="17">
        <v>1347</v>
      </c>
      <c r="B67" s="55"/>
      <c r="C67" s="52">
        <v>655</v>
      </c>
      <c r="D67" s="16">
        <f t="shared" si="7"/>
        <v>123.22416201117318</v>
      </c>
      <c r="E67" s="53">
        <v>25.2</v>
      </c>
      <c r="F67" s="54">
        <f t="shared" si="8"/>
        <v>0.2045053469117122</v>
      </c>
      <c r="G67" s="57">
        <v>65.5</v>
      </c>
      <c r="H67" s="17"/>
    </row>
    <row r="68" spans="1:8" ht="12.75">
      <c r="A68" s="17">
        <v>1286</v>
      </c>
      <c r="B68" s="50"/>
      <c r="C68" s="52">
        <v>657</v>
      </c>
      <c r="D68" s="16">
        <f t="shared" si="7"/>
        <v>118.00307262569832</v>
      </c>
      <c r="E68" s="53">
        <v>24.4</v>
      </c>
      <c r="F68" s="54">
        <f t="shared" si="8"/>
        <v>0.2067742767800289</v>
      </c>
      <c r="G68" s="57">
        <v>65.7</v>
      </c>
      <c r="H68" s="17"/>
    </row>
    <row r="69" spans="1:8" ht="12.75">
      <c r="A69" s="17">
        <v>1225</v>
      </c>
      <c r="B69" s="50"/>
      <c r="C69" s="52">
        <v>656</v>
      </c>
      <c r="D69" s="16">
        <f t="shared" si="7"/>
        <v>112.23463687150839</v>
      </c>
      <c r="E69" s="53">
        <v>23.6</v>
      </c>
      <c r="F69" s="54">
        <f t="shared" si="8"/>
        <v>0.21027376804380288</v>
      </c>
      <c r="G69" s="57">
        <v>65.6</v>
      </c>
      <c r="H69" s="17"/>
    </row>
    <row r="70" spans="1:8" ht="12.75">
      <c r="A70" s="17"/>
      <c r="B70" s="50"/>
      <c r="C70" s="52"/>
      <c r="D70" s="16"/>
      <c r="E70" s="53"/>
      <c r="F70" s="54"/>
      <c r="G70" s="57"/>
      <c r="H70" s="17"/>
    </row>
    <row r="71" spans="1:8" ht="12.75">
      <c r="A71" s="55"/>
      <c r="B71" s="55"/>
      <c r="C71" s="57"/>
      <c r="D71" s="16"/>
      <c r="E71" s="16"/>
      <c r="F71" s="54"/>
      <c r="G71" s="17"/>
      <c r="H71" s="17"/>
    </row>
    <row r="72" spans="1:13" ht="12.75">
      <c r="A72" s="55"/>
      <c r="B72" s="55"/>
      <c r="C72" s="100">
        <v>101</v>
      </c>
      <c r="D72" s="101">
        <v>197.5</v>
      </c>
      <c r="E72" s="101">
        <v>300</v>
      </c>
      <c r="F72" s="101">
        <v>403.5</v>
      </c>
      <c r="G72" s="101">
        <v>505</v>
      </c>
      <c r="H72" s="122" t="s">
        <v>26</v>
      </c>
      <c r="I72" s="42"/>
      <c r="J72" s="42"/>
      <c r="K72" s="43"/>
      <c r="L72" s="42"/>
      <c r="M72" s="123"/>
    </row>
    <row r="73" spans="1:13" ht="12.75">
      <c r="A73" s="17">
        <v>2360</v>
      </c>
      <c r="B73" s="50">
        <v>12</v>
      </c>
      <c r="C73" s="103">
        <v>107</v>
      </c>
      <c r="D73" s="77">
        <v>205</v>
      </c>
      <c r="E73" s="77">
        <v>310</v>
      </c>
      <c r="F73" s="77">
        <v>401</v>
      </c>
      <c r="G73" s="77">
        <v>494</v>
      </c>
      <c r="H73" s="86" t="s">
        <v>27</v>
      </c>
      <c r="I73" s="124" t="s">
        <v>48</v>
      </c>
      <c r="J73" s="16"/>
      <c r="K73" s="17"/>
      <c r="L73" s="16"/>
      <c r="M73" s="125"/>
    </row>
    <row r="74" spans="1:13" ht="12.75">
      <c r="A74" s="17">
        <v>2200</v>
      </c>
      <c r="B74" s="50">
        <v>10.6</v>
      </c>
      <c r="C74" s="105">
        <v>101</v>
      </c>
      <c r="D74" s="106">
        <v>190</v>
      </c>
      <c r="E74" s="107">
        <v>313</v>
      </c>
      <c r="F74" s="108">
        <v>410</v>
      </c>
      <c r="G74" s="109">
        <v>519</v>
      </c>
      <c r="H74" s="126" t="s">
        <v>28</v>
      </c>
      <c r="I74" s="127" t="s">
        <v>47</v>
      </c>
      <c r="J74" s="47"/>
      <c r="K74" s="48"/>
      <c r="L74" s="47"/>
      <c r="M74" s="128"/>
    </row>
    <row r="75" spans="1:9" ht="12.75">
      <c r="A75" s="17">
        <v>2000</v>
      </c>
      <c r="B75" s="50">
        <v>8.7</v>
      </c>
      <c r="C75" s="111">
        <v>13.3</v>
      </c>
      <c r="D75" s="112">
        <v>17.3</v>
      </c>
      <c r="E75" s="113">
        <v>21.7</v>
      </c>
      <c r="F75" s="113">
        <v>26.2</v>
      </c>
      <c r="G75" s="112">
        <v>30.3</v>
      </c>
      <c r="H75" s="121" t="s">
        <v>46</v>
      </c>
      <c r="I75" s="114"/>
    </row>
    <row r="76" spans="1:9" ht="12.75">
      <c r="A76" s="17">
        <v>1800</v>
      </c>
      <c r="B76" s="50">
        <v>7.2</v>
      </c>
      <c r="C76" s="115">
        <v>11.1</v>
      </c>
      <c r="D76" s="53">
        <v>15</v>
      </c>
      <c r="E76" s="50">
        <v>18.9</v>
      </c>
      <c r="F76" s="50">
        <v>22</v>
      </c>
      <c r="G76" s="53">
        <v>26.2</v>
      </c>
      <c r="H76" s="121" t="s">
        <v>46</v>
      </c>
      <c r="I76" s="116"/>
    </row>
    <row r="77" spans="1:9" ht="12.75">
      <c r="A77" s="17">
        <v>1600</v>
      </c>
      <c r="B77" s="50">
        <v>5.9</v>
      </c>
      <c r="C77" s="117">
        <v>9</v>
      </c>
      <c r="D77" s="118">
        <v>12.5</v>
      </c>
      <c r="E77" s="119">
        <v>15.9</v>
      </c>
      <c r="F77" s="119">
        <v>19.9</v>
      </c>
      <c r="G77" s="118">
        <v>23</v>
      </c>
      <c r="H77" s="129" t="s">
        <v>46</v>
      </c>
      <c r="I77" s="120"/>
    </row>
    <row r="78" spans="1:8" ht="12.75">
      <c r="A78" s="17">
        <v>1400</v>
      </c>
      <c r="B78" s="50">
        <v>4.8</v>
      </c>
      <c r="C78" s="67">
        <v>1998</v>
      </c>
      <c r="D78" s="68">
        <v>1998</v>
      </c>
      <c r="E78" s="69">
        <v>1990</v>
      </c>
      <c r="F78" s="68">
        <v>2000</v>
      </c>
      <c r="G78" s="68">
        <v>1990</v>
      </c>
      <c r="H78" s="86" t="s">
        <v>26</v>
      </c>
    </row>
    <row r="79" spans="1:8" ht="12.75">
      <c r="A79" s="17">
        <v>1200</v>
      </c>
      <c r="B79" s="50">
        <v>3.8</v>
      </c>
      <c r="C79" s="69">
        <v>1800</v>
      </c>
      <c r="D79" s="70">
        <v>1803</v>
      </c>
      <c r="E79" s="69">
        <v>1800</v>
      </c>
      <c r="F79" s="70">
        <v>1783</v>
      </c>
      <c r="G79" s="69">
        <v>1803</v>
      </c>
      <c r="H79" s="86" t="s">
        <v>27</v>
      </c>
    </row>
    <row r="80" spans="1:8" ht="12.75">
      <c r="A80" s="17">
        <v>1000</v>
      </c>
      <c r="B80" s="50">
        <v>3.15</v>
      </c>
      <c r="C80" s="69">
        <v>1595</v>
      </c>
      <c r="D80" s="70">
        <v>1600</v>
      </c>
      <c r="E80" s="69">
        <v>1612</v>
      </c>
      <c r="F80" s="70">
        <v>1604</v>
      </c>
      <c r="G80" s="69">
        <v>1591</v>
      </c>
      <c r="H80" s="86" t="s">
        <v>28</v>
      </c>
    </row>
    <row r="81" spans="1:12" ht="12.75">
      <c r="A81" s="17">
        <v>800</v>
      </c>
      <c r="B81" s="50">
        <v>2.4</v>
      </c>
      <c r="C81" s="130">
        <v>10.6</v>
      </c>
      <c r="D81" s="131">
        <v>14.2</v>
      </c>
      <c r="E81" s="132">
        <v>18.1</v>
      </c>
      <c r="F81" s="132">
        <v>21.9</v>
      </c>
      <c r="G81" s="132">
        <v>26</v>
      </c>
      <c r="H81" s="137" t="s">
        <v>26</v>
      </c>
      <c r="I81" s="138" t="s">
        <v>49</v>
      </c>
      <c r="J81" s="42"/>
      <c r="K81" s="43"/>
      <c r="L81" s="114"/>
    </row>
    <row r="82" spans="1:12" ht="12.75">
      <c r="A82" s="17">
        <v>720</v>
      </c>
      <c r="B82" s="50">
        <v>2.1</v>
      </c>
      <c r="C82" s="133">
        <v>1791</v>
      </c>
      <c r="D82" s="65">
        <v>1782</v>
      </c>
      <c r="E82" s="64">
        <v>1795</v>
      </c>
      <c r="F82" s="64">
        <v>1807</v>
      </c>
      <c r="G82" s="64">
        <v>1795</v>
      </c>
      <c r="H82" s="139" t="s">
        <v>27</v>
      </c>
      <c r="I82" s="140" t="s">
        <v>51</v>
      </c>
      <c r="J82" s="16"/>
      <c r="K82" s="17"/>
      <c r="L82" s="116"/>
    </row>
    <row r="83" spans="3:12" ht="12.75">
      <c r="C83" s="134">
        <v>102</v>
      </c>
      <c r="D83" s="135">
        <v>205</v>
      </c>
      <c r="E83" s="136">
        <v>296.5</v>
      </c>
      <c r="F83" s="136">
        <v>392.5</v>
      </c>
      <c r="G83" s="136">
        <v>499</v>
      </c>
      <c r="H83" s="141" t="s">
        <v>28</v>
      </c>
      <c r="I83" s="142" t="s">
        <v>50</v>
      </c>
      <c r="J83" s="47"/>
      <c r="K83" s="48"/>
      <c r="L83" s="120"/>
    </row>
    <row r="85" spans="1:8" ht="12.75">
      <c r="A85" s="79" t="s">
        <v>45</v>
      </c>
      <c r="C85" s="2">
        <f>C72*C78/7160</f>
        <v>28.1840782122905</v>
      </c>
      <c r="D85" s="2">
        <f>D72*D78/7160</f>
        <v>55.112430167597765</v>
      </c>
      <c r="E85" s="2">
        <f>E72*E78/7160</f>
        <v>83.37988826815642</v>
      </c>
      <c r="F85" s="2">
        <f>F72*F78/7160</f>
        <v>112.70949720670392</v>
      </c>
      <c r="G85" s="2">
        <f>G72*G78/7160</f>
        <v>140.35614525139664</v>
      </c>
      <c r="H85" s="102" t="s">
        <v>26</v>
      </c>
    </row>
    <row r="86" spans="1:8" ht="12.75">
      <c r="A86" s="79" t="s">
        <v>29</v>
      </c>
      <c r="C86" s="2">
        <f aca="true" t="shared" si="9" ref="C86:G87">C73*C79/7160</f>
        <v>26.899441340782122</v>
      </c>
      <c r="D86" s="2">
        <f t="shared" si="9"/>
        <v>51.622206703910614</v>
      </c>
      <c r="E86" s="2">
        <f t="shared" si="9"/>
        <v>77.93296089385476</v>
      </c>
      <c r="F86" s="2">
        <f t="shared" si="9"/>
        <v>99.85796089385475</v>
      </c>
      <c r="G86" s="2">
        <f t="shared" si="9"/>
        <v>124.39692737430168</v>
      </c>
      <c r="H86" s="104" t="s">
        <v>27</v>
      </c>
    </row>
    <row r="87" spans="1:8" ht="12.75">
      <c r="A87" s="79" t="s">
        <v>30</v>
      </c>
      <c r="C87" s="2">
        <f t="shared" si="9"/>
        <v>22.499301675977655</v>
      </c>
      <c r="D87" s="2">
        <f t="shared" si="9"/>
        <v>42.45810055865922</v>
      </c>
      <c r="E87" s="2">
        <f>E74*E80/7160</f>
        <v>70.46871508379888</v>
      </c>
      <c r="F87" s="2">
        <f t="shared" si="9"/>
        <v>91.84916201117318</v>
      </c>
      <c r="G87" s="2">
        <f t="shared" si="9"/>
        <v>115.32527932960893</v>
      </c>
      <c r="H87" s="110" t="s">
        <v>28</v>
      </c>
    </row>
    <row r="88" spans="1:7" ht="12.75">
      <c r="A88" s="80" t="s">
        <v>31</v>
      </c>
      <c r="C88" s="78">
        <f>C82*C83/7160</f>
        <v>25.514245810055865</v>
      </c>
      <c r="D88" s="78">
        <f>D82*D83/7160</f>
        <v>51.020949720670394</v>
      </c>
      <c r="E88" s="78">
        <f>E82*E83/7160</f>
        <v>74.3320530726257</v>
      </c>
      <c r="F88" s="78">
        <f>F82*F83/7160</f>
        <v>99.05691340782123</v>
      </c>
      <c r="G88" s="78">
        <f>G82*G83/7160</f>
        <v>125.09846368715084</v>
      </c>
    </row>
    <row r="89" ht="13.5" thickBot="1"/>
    <row r="90" spans="1:10" ht="12.75">
      <c r="A90" s="1" t="s">
        <v>32</v>
      </c>
      <c r="C90" s="81">
        <f>C75/C85</f>
        <v>0.47189764021447195</v>
      </c>
      <c r="D90" s="81">
        <f>D75/D85</f>
        <v>0.31390377719491647</v>
      </c>
      <c r="E90" s="81">
        <f>E75/E85</f>
        <v>0.2602546063651591</v>
      </c>
      <c r="F90" s="81">
        <f>F75/F85</f>
        <v>0.23245600991325896</v>
      </c>
      <c r="G90" s="81">
        <f>G75/G85</f>
        <v>0.21587939698492464</v>
      </c>
      <c r="H90" s="89" t="s">
        <v>43</v>
      </c>
      <c r="I90" s="90"/>
      <c r="J90" s="87"/>
    </row>
    <row r="91" spans="3:10" ht="13.5" thickBot="1">
      <c r="C91" s="93">
        <f aca="true" t="shared" si="10" ref="C91:G92">C76/C86</f>
        <v>0.41264797507788165</v>
      </c>
      <c r="D91" s="94">
        <f t="shared" si="10"/>
        <v>0.29057262286433183</v>
      </c>
      <c r="E91" s="94">
        <f t="shared" si="10"/>
        <v>0.24251612903225803</v>
      </c>
      <c r="F91" s="94">
        <f t="shared" si="10"/>
        <v>0.22031293051722908</v>
      </c>
      <c r="G91" s="95">
        <f t="shared" si="10"/>
        <v>0.21061613460247314</v>
      </c>
      <c r="H91" s="92">
        <f>SUM(C91:G91)/5</f>
        <v>0.2753331584188347</v>
      </c>
      <c r="I91" s="18"/>
      <c r="J91" s="88"/>
    </row>
    <row r="92" spans="3:10" ht="12.75">
      <c r="C92" s="81">
        <f t="shared" si="10"/>
        <v>0.4000124150346069</v>
      </c>
      <c r="D92" s="81">
        <f t="shared" si="10"/>
        <v>0.2944078947368421</v>
      </c>
      <c r="E92" s="81">
        <f t="shared" si="10"/>
        <v>0.225632040843831</v>
      </c>
      <c r="F92" s="81">
        <f t="shared" si="10"/>
        <v>0.2166595705857308</v>
      </c>
      <c r="G92" s="81">
        <f t="shared" si="10"/>
        <v>0.19943589240537757</v>
      </c>
      <c r="H92" s="91" t="s">
        <v>44</v>
      </c>
      <c r="I92" s="90"/>
      <c r="J92" s="87"/>
    </row>
    <row r="93" spans="3:10" ht="13.5" thickBot="1">
      <c r="C93" s="97">
        <f>C81/C88</f>
        <v>0.4154541772041033</v>
      </c>
      <c r="D93" s="98">
        <f>D81/D88</f>
        <v>0.27831704579672056</v>
      </c>
      <c r="E93" s="98">
        <f>E81/E88</f>
        <v>0.24350195173965533</v>
      </c>
      <c r="F93" s="98">
        <f>F81/F88</f>
        <v>0.22108502321122034</v>
      </c>
      <c r="G93" s="99">
        <f>G81/G88</f>
        <v>0.20783628538413876</v>
      </c>
      <c r="H93" s="96">
        <f>SUM(C93:G93)/5</f>
        <v>0.2732388966671676</v>
      </c>
      <c r="I93" s="18"/>
      <c r="J93" s="88"/>
    </row>
    <row r="95" spans="1:8" ht="12.75">
      <c r="A95" s="79" t="s">
        <v>33</v>
      </c>
      <c r="C95" s="82">
        <f>C90*1000</f>
        <v>471.89764021447195</v>
      </c>
      <c r="D95" s="82">
        <f>D90*1000</f>
        <v>313.9037771949165</v>
      </c>
      <c r="E95" s="82">
        <f>E90*1000</f>
        <v>260.25460636515913</v>
      </c>
      <c r="F95" s="82">
        <f>F90*1000</f>
        <v>232.45600991325895</v>
      </c>
      <c r="G95" s="82">
        <f>G90*1000</f>
        <v>215.87939698492465</v>
      </c>
      <c r="H95" s="82"/>
    </row>
    <row r="96" spans="1:8" ht="12.75">
      <c r="A96" s="79" t="s">
        <v>34</v>
      </c>
      <c r="C96" s="82">
        <f aca="true" t="shared" si="11" ref="C96:G98">C91*1000</f>
        <v>412.64797507788165</v>
      </c>
      <c r="D96" s="82">
        <f t="shared" si="11"/>
        <v>290.57262286433183</v>
      </c>
      <c r="E96" s="82">
        <f t="shared" si="11"/>
        <v>242.51612903225802</v>
      </c>
      <c r="F96" s="82">
        <f t="shared" si="11"/>
        <v>220.3129305172291</v>
      </c>
      <c r="G96" s="82">
        <f t="shared" si="11"/>
        <v>210.61613460247312</v>
      </c>
      <c r="H96" s="82"/>
    </row>
    <row r="97" spans="1:7" ht="12.75">
      <c r="A97" s="79" t="s">
        <v>35</v>
      </c>
      <c r="C97" s="82">
        <f t="shared" si="11"/>
        <v>400.0124150346069</v>
      </c>
      <c r="D97" s="82">
        <f t="shared" si="11"/>
        <v>294.4078947368421</v>
      </c>
      <c r="E97" s="82">
        <f t="shared" si="11"/>
        <v>225.63204084383102</v>
      </c>
      <c r="F97" s="82">
        <f t="shared" si="11"/>
        <v>216.6595705857308</v>
      </c>
      <c r="G97" s="82">
        <f t="shared" si="11"/>
        <v>199.43589240537756</v>
      </c>
    </row>
    <row r="98" spans="1:7" ht="12.75">
      <c r="A98" s="79" t="s">
        <v>36</v>
      </c>
      <c r="C98" s="83">
        <f t="shared" si="11"/>
        <v>415.4541772041033</v>
      </c>
      <c r="D98" s="83">
        <f t="shared" si="11"/>
        <v>278.31704579672055</v>
      </c>
      <c r="E98" s="83">
        <f t="shared" si="11"/>
        <v>243.50195173965534</v>
      </c>
      <c r="F98" s="83">
        <f t="shared" si="11"/>
        <v>221.08502321122035</v>
      </c>
      <c r="G98" s="83">
        <f t="shared" si="11"/>
        <v>207.83628538413876</v>
      </c>
    </row>
    <row r="100" ht="12.75">
      <c r="A100" s="85" t="s">
        <v>38</v>
      </c>
    </row>
    <row r="101" ht="12.75">
      <c r="A101" s="84" t="s">
        <v>37</v>
      </c>
    </row>
    <row r="102" ht="12.75">
      <c r="A102" s="80" t="s">
        <v>39</v>
      </c>
    </row>
    <row r="104" ht="12.75">
      <c r="A104" s="79" t="s">
        <v>40</v>
      </c>
    </row>
    <row r="105" ht="12.75">
      <c r="A105" s="79" t="s">
        <v>41</v>
      </c>
    </row>
    <row r="106" ht="12.75">
      <c r="A106" s="79" t="s">
        <v>42</v>
      </c>
    </row>
    <row r="107" spans="1:14" ht="12.75">
      <c r="A107" s="79"/>
      <c r="N107" s="143"/>
    </row>
    <row r="108" ht="12.75">
      <c r="A108" s="79"/>
    </row>
    <row r="109" ht="12.75">
      <c r="A109" s="79"/>
    </row>
    <row r="110" ht="12.75">
      <c r="A110" s="79"/>
    </row>
    <row r="126" ht="12.75">
      <c r="N126" t="s">
        <v>56</v>
      </c>
    </row>
    <row r="160" ht="12.75">
      <c r="N160" t="s">
        <v>56</v>
      </c>
    </row>
    <row r="216" ht="12.75">
      <c r="A216" s="79"/>
    </row>
    <row r="218" ht="12.75">
      <c r="A218" s="79"/>
    </row>
    <row r="219" ht="12.75">
      <c r="A219" s="79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49"/>
  <sheetViews>
    <sheetView tabSelected="1" workbookViewId="0" topLeftCell="A1">
      <selection activeCell="A1" sqref="A1:U1"/>
    </sheetView>
  </sheetViews>
  <sheetFormatPr defaultColWidth="11.421875" defaultRowHeight="12.75"/>
  <cols>
    <col min="1" max="1" width="5.8515625" style="0" customWidth="1"/>
    <col min="2" max="2" width="5.00390625" style="0" customWidth="1"/>
    <col min="3" max="9" width="6.00390625" style="0" customWidth="1"/>
    <col min="10" max="10" width="5.57421875" style="0" customWidth="1"/>
    <col min="11" max="11" width="6.00390625" style="0" customWidth="1"/>
    <col min="12" max="12" width="6.421875" style="0" customWidth="1"/>
    <col min="13" max="13" width="7.00390625" style="0" customWidth="1"/>
    <col min="14" max="14" width="5.7109375" style="0" customWidth="1"/>
    <col min="15" max="15" width="6.8515625" style="0" customWidth="1"/>
    <col min="16" max="17" width="5.8515625" style="0" customWidth="1"/>
    <col min="18" max="18" width="7.00390625" style="0" customWidth="1"/>
    <col min="19" max="19" width="6.8515625" style="0" customWidth="1"/>
    <col min="20" max="21" width="6.00390625" style="0" customWidth="1"/>
    <col min="23" max="23" width="8.140625" style="0" customWidth="1"/>
    <col min="24" max="24" width="9.7109375" style="0" customWidth="1"/>
    <col min="26" max="26" width="9.00390625" style="0" customWidth="1"/>
    <col min="27" max="27" width="14.7109375" style="0" customWidth="1"/>
    <col min="29" max="29" width="11.8515625" style="0" customWidth="1"/>
    <col min="30" max="30" width="1.8515625" style="0" customWidth="1"/>
    <col min="32" max="32" width="2.28125" style="0" customWidth="1"/>
    <col min="33" max="33" width="9.57421875" style="0" customWidth="1"/>
    <col min="34" max="34" width="11.8515625" style="0" customWidth="1"/>
    <col min="35" max="35" width="13.421875" style="0" customWidth="1"/>
  </cols>
  <sheetData>
    <row r="1" spans="1:35" ht="18.75" thickBot="1">
      <c r="A1" s="423" t="s">
        <v>57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W1" s="1"/>
      <c r="X1" s="1"/>
      <c r="Y1" s="165"/>
      <c r="Z1" s="1"/>
      <c r="AA1" s="1"/>
      <c r="AB1" s="165" t="s">
        <v>58</v>
      </c>
      <c r="AC1" s="1"/>
      <c r="AG1" s="1"/>
      <c r="AH1" s="1"/>
      <c r="AI1" s="1"/>
    </row>
    <row r="2" spans="1:35" ht="18.75" thickBot="1">
      <c r="A2" s="17"/>
      <c r="B2" s="17"/>
      <c r="C2" s="424" t="s">
        <v>59</v>
      </c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6"/>
      <c r="R2" s="424" t="s">
        <v>60</v>
      </c>
      <c r="S2" s="425"/>
      <c r="T2" s="425"/>
      <c r="U2" s="426"/>
      <c r="W2" s="1"/>
      <c r="X2" s="1"/>
      <c r="Y2" s="165"/>
      <c r="Z2" s="1"/>
      <c r="AA2" s="1"/>
      <c r="AB2" s="165"/>
      <c r="AC2" s="1"/>
      <c r="AG2" s="1"/>
      <c r="AH2" s="1"/>
      <c r="AI2" s="1"/>
    </row>
    <row r="3" spans="1:35" ht="13.5" thickBot="1">
      <c r="A3" s="17"/>
      <c r="B3" s="17"/>
      <c r="C3" s="166"/>
      <c r="D3" s="167" t="s">
        <v>61</v>
      </c>
      <c r="E3" s="168"/>
      <c r="F3" s="166"/>
      <c r="G3" s="167" t="s">
        <v>61</v>
      </c>
      <c r="H3" s="168"/>
      <c r="I3" s="166"/>
      <c r="J3" s="167" t="s">
        <v>61</v>
      </c>
      <c r="K3" s="168"/>
      <c r="L3" s="166"/>
      <c r="M3" s="167" t="s">
        <v>61</v>
      </c>
      <c r="N3" s="168"/>
      <c r="O3" s="166"/>
      <c r="P3" s="167" t="s">
        <v>61</v>
      </c>
      <c r="Q3" s="168"/>
      <c r="R3" s="169"/>
      <c r="S3" s="170"/>
      <c r="T3" s="171"/>
      <c r="U3" s="87"/>
      <c r="W3" s="172">
        <v>1</v>
      </c>
      <c r="X3" s="173">
        <v>2</v>
      </c>
      <c r="Y3" s="174">
        <v>3</v>
      </c>
      <c r="Z3" s="173">
        <v>4</v>
      </c>
      <c r="AA3" s="173">
        <v>5</v>
      </c>
      <c r="AB3" s="174">
        <v>6</v>
      </c>
      <c r="AC3" s="174">
        <v>7</v>
      </c>
      <c r="AD3" s="175"/>
      <c r="AE3" s="173">
        <v>8</v>
      </c>
      <c r="AF3" s="175"/>
      <c r="AG3" s="176">
        <v>9</v>
      </c>
      <c r="AH3" s="177">
        <v>10</v>
      </c>
      <c r="AI3" s="33">
        <v>11</v>
      </c>
    </row>
    <row r="4" spans="1:35" ht="13.5" thickBot="1">
      <c r="A4" s="178" t="s">
        <v>1</v>
      </c>
      <c r="B4" s="55"/>
      <c r="C4" s="179"/>
      <c r="D4" s="180" t="s">
        <v>62</v>
      </c>
      <c r="E4" s="181"/>
      <c r="F4" s="179"/>
      <c r="G4" s="180" t="s">
        <v>63</v>
      </c>
      <c r="H4" s="181"/>
      <c r="I4" s="179"/>
      <c r="J4" s="180" t="s">
        <v>64</v>
      </c>
      <c r="K4" s="181"/>
      <c r="L4" s="179"/>
      <c r="M4" s="180" t="s">
        <v>65</v>
      </c>
      <c r="N4" s="181"/>
      <c r="O4" s="179"/>
      <c r="P4" s="180" t="s">
        <v>66</v>
      </c>
      <c r="Q4" s="182"/>
      <c r="R4" s="183" t="s">
        <v>1</v>
      </c>
      <c r="S4" s="184"/>
      <c r="T4" s="185"/>
      <c r="U4" s="186"/>
      <c r="W4" s="36"/>
      <c r="X4" s="38"/>
      <c r="Y4" s="21" t="s">
        <v>67</v>
      </c>
      <c r="Z4" s="38"/>
      <c r="AA4" s="38"/>
      <c r="AB4" s="21"/>
      <c r="AC4" s="21" t="s">
        <v>68</v>
      </c>
      <c r="AD4" s="184"/>
      <c r="AE4" s="38" t="s">
        <v>68</v>
      </c>
      <c r="AF4" s="184"/>
      <c r="AG4" s="187"/>
      <c r="AH4" s="188" t="s">
        <v>67</v>
      </c>
      <c r="AI4" s="34" t="s">
        <v>69</v>
      </c>
    </row>
    <row r="5" spans="1:35" ht="13.5" thickBot="1">
      <c r="A5" s="189" t="s">
        <v>0</v>
      </c>
      <c r="B5" s="189" t="s">
        <v>23</v>
      </c>
      <c r="C5" s="190" t="s">
        <v>22</v>
      </c>
      <c r="D5" s="191" t="s">
        <v>23</v>
      </c>
      <c r="E5" s="192" t="s">
        <v>24</v>
      </c>
      <c r="F5" s="37" t="s">
        <v>22</v>
      </c>
      <c r="G5" s="191" t="s">
        <v>23</v>
      </c>
      <c r="H5" s="193" t="s">
        <v>24</v>
      </c>
      <c r="I5" s="37" t="s">
        <v>22</v>
      </c>
      <c r="J5" s="191" t="s">
        <v>23</v>
      </c>
      <c r="K5" s="194" t="s">
        <v>24</v>
      </c>
      <c r="L5" s="193" t="s">
        <v>22</v>
      </c>
      <c r="M5" s="191" t="s">
        <v>23</v>
      </c>
      <c r="N5" s="193" t="s">
        <v>24</v>
      </c>
      <c r="O5" s="37" t="s">
        <v>22</v>
      </c>
      <c r="P5" s="191" t="s">
        <v>23</v>
      </c>
      <c r="Q5" s="193" t="s">
        <v>24</v>
      </c>
      <c r="R5" s="195" t="s">
        <v>21</v>
      </c>
      <c r="S5" s="39" t="s">
        <v>22</v>
      </c>
      <c r="T5" s="196" t="s">
        <v>23</v>
      </c>
      <c r="U5" s="194" t="s">
        <v>24</v>
      </c>
      <c r="W5" s="36"/>
      <c r="X5" s="38"/>
      <c r="Y5" s="21" t="s">
        <v>70</v>
      </c>
      <c r="Z5" s="38"/>
      <c r="AA5" s="38" t="s">
        <v>71</v>
      </c>
      <c r="AB5" s="21"/>
      <c r="AC5" s="197" t="s">
        <v>72</v>
      </c>
      <c r="AD5" s="184"/>
      <c r="AE5" s="45" t="s">
        <v>72</v>
      </c>
      <c r="AF5" s="184"/>
      <c r="AG5" s="187"/>
      <c r="AH5" s="188" t="s">
        <v>73</v>
      </c>
      <c r="AI5" s="34" t="s">
        <v>74</v>
      </c>
    </row>
    <row r="6" spans="1:35" ht="15.75">
      <c r="A6" s="33">
        <v>2360</v>
      </c>
      <c r="B6" s="198">
        <v>12</v>
      </c>
      <c r="C6" s="17"/>
      <c r="D6" s="23"/>
      <c r="E6" s="16"/>
      <c r="F6" s="166"/>
      <c r="G6" s="171"/>
      <c r="H6" s="87"/>
      <c r="I6" s="166"/>
      <c r="J6" s="174"/>
      <c r="K6" s="168"/>
      <c r="L6" s="172"/>
      <c r="M6" s="174"/>
      <c r="N6" s="168"/>
      <c r="O6" s="427" t="s">
        <v>75</v>
      </c>
      <c r="P6" s="428"/>
      <c r="Q6" s="428"/>
      <c r="R6" s="199">
        <v>0</v>
      </c>
      <c r="S6" s="173">
        <v>0</v>
      </c>
      <c r="T6" s="200">
        <v>12</v>
      </c>
      <c r="U6" s="201" t="s">
        <v>25</v>
      </c>
      <c r="W6" s="36"/>
      <c r="X6" s="38"/>
      <c r="Y6" s="21" t="s">
        <v>76</v>
      </c>
      <c r="Z6" s="38" t="s">
        <v>67</v>
      </c>
      <c r="AA6" s="202" t="s">
        <v>77</v>
      </c>
      <c r="AB6" s="21" t="s">
        <v>78</v>
      </c>
      <c r="AC6" s="21" t="s">
        <v>4</v>
      </c>
      <c r="AD6" s="184"/>
      <c r="AE6" s="184"/>
      <c r="AF6" s="184"/>
      <c r="AG6" s="187"/>
      <c r="AH6" s="188" t="s">
        <v>79</v>
      </c>
      <c r="AI6" s="34" t="s">
        <v>80</v>
      </c>
    </row>
    <row r="7" spans="1:35" ht="12.75">
      <c r="A7" s="34">
        <v>2350</v>
      </c>
      <c r="B7" s="203"/>
      <c r="C7" s="17"/>
      <c r="D7" s="23"/>
      <c r="E7" s="16"/>
      <c r="F7" s="204"/>
      <c r="G7" s="23"/>
      <c r="H7" s="205"/>
      <c r="I7" s="204"/>
      <c r="J7" s="21"/>
      <c r="K7" s="206"/>
      <c r="L7" s="36"/>
      <c r="M7" s="207" t="s">
        <v>81</v>
      </c>
      <c r="N7" s="206"/>
      <c r="O7" s="419" t="s">
        <v>82</v>
      </c>
      <c r="P7" s="420"/>
      <c r="Q7" s="420"/>
      <c r="R7" s="208">
        <v>23</v>
      </c>
      <c r="S7" s="25">
        <f>R7*A6/7160</f>
        <v>7.581005586592179</v>
      </c>
      <c r="T7" s="209">
        <v>15.1</v>
      </c>
      <c r="U7" s="210">
        <f aca="true" t="shared" si="0" ref="U7:U12">T7/S7</f>
        <v>1.9918201915991156</v>
      </c>
      <c r="W7" s="36" t="s">
        <v>83</v>
      </c>
      <c r="X7" s="38" t="s">
        <v>3</v>
      </c>
      <c r="Y7" s="21" t="s">
        <v>84</v>
      </c>
      <c r="Z7" s="38" t="s">
        <v>85</v>
      </c>
      <c r="AA7" s="202" t="s">
        <v>86</v>
      </c>
      <c r="AB7" s="21" t="s">
        <v>87</v>
      </c>
      <c r="AC7" s="21" t="s">
        <v>88</v>
      </c>
      <c r="AD7" s="184"/>
      <c r="AE7" s="184"/>
      <c r="AF7" s="184"/>
      <c r="AG7" s="187" t="s">
        <v>89</v>
      </c>
      <c r="AH7" s="211" t="s">
        <v>4</v>
      </c>
      <c r="AI7" s="212" t="s">
        <v>90</v>
      </c>
    </row>
    <row r="8" spans="1:35" ht="12.75">
      <c r="A8" s="34">
        <v>2300</v>
      </c>
      <c r="B8" s="203"/>
      <c r="C8" s="17"/>
      <c r="D8" s="23"/>
      <c r="E8" s="16"/>
      <c r="F8" s="204"/>
      <c r="G8" s="23"/>
      <c r="H8" s="205"/>
      <c r="I8" s="204"/>
      <c r="J8" s="21"/>
      <c r="K8" s="206"/>
      <c r="L8" s="36"/>
      <c r="M8" s="207" t="s">
        <v>91</v>
      </c>
      <c r="N8" s="206"/>
      <c r="O8" s="419" t="s">
        <v>82</v>
      </c>
      <c r="P8" s="420"/>
      <c r="Q8" s="420"/>
      <c r="R8" s="208">
        <v>120</v>
      </c>
      <c r="S8" s="25">
        <f aca="true" t="shared" si="1" ref="S8:S30">R8*A8/7160</f>
        <v>38.547486033519554</v>
      </c>
      <c r="T8" s="209">
        <v>19.4</v>
      </c>
      <c r="U8" s="210">
        <f t="shared" si="0"/>
        <v>0.5032753623188405</v>
      </c>
      <c r="W8" s="36" t="s">
        <v>1</v>
      </c>
      <c r="X8" s="38" t="s">
        <v>92</v>
      </c>
      <c r="Y8" s="213" t="s">
        <v>93</v>
      </c>
      <c r="Z8" s="38" t="s">
        <v>94</v>
      </c>
      <c r="AA8" s="202" t="s">
        <v>95</v>
      </c>
      <c r="AB8" s="214" t="s">
        <v>86</v>
      </c>
      <c r="AC8" s="21" t="s">
        <v>96</v>
      </c>
      <c r="AD8" s="184"/>
      <c r="AE8" s="38" t="s">
        <v>4</v>
      </c>
      <c r="AF8" s="184"/>
      <c r="AG8" s="215" t="s">
        <v>4</v>
      </c>
      <c r="AH8" s="211" t="s">
        <v>97</v>
      </c>
      <c r="AI8" s="216" t="s">
        <v>98</v>
      </c>
    </row>
    <row r="9" spans="1:35" ht="13.5" thickBot="1">
      <c r="A9" s="34">
        <v>2250</v>
      </c>
      <c r="B9" s="203"/>
      <c r="C9" s="17"/>
      <c r="D9" s="23"/>
      <c r="E9" s="16"/>
      <c r="F9" s="204"/>
      <c r="G9" s="23"/>
      <c r="H9" s="205"/>
      <c r="I9" s="204"/>
      <c r="J9" s="21"/>
      <c r="K9" s="206"/>
      <c r="L9" s="36"/>
      <c r="M9" s="217" t="s">
        <v>99</v>
      </c>
      <c r="N9" s="206"/>
      <c r="O9" s="419" t="s">
        <v>82</v>
      </c>
      <c r="P9" s="420"/>
      <c r="Q9" s="420"/>
      <c r="R9" s="208">
        <v>304</v>
      </c>
      <c r="S9" s="25">
        <f t="shared" si="1"/>
        <v>95.53072625698324</v>
      </c>
      <c r="T9" s="209">
        <v>27.7</v>
      </c>
      <c r="U9" s="210">
        <f t="shared" si="0"/>
        <v>0.28995906432748536</v>
      </c>
      <c r="W9" s="36"/>
      <c r="X9" s="38"/>
      <c r="Y9" s="213" t="s">
        <v>100</v>
      </c>
      <c r="Z9" s="38"/>
      <c r="AA9" s="202" t="s">
        <v>101</v>
      </c>
      <c r="AB9" s="214" t="s">
        <v>95</v>
      </c>
      <c r="AC9" s="21" t="s">
        <v>102</v>
      </c>
      <c r="AD9" s="184"/>
      <c r="AE9" s="218" t="s">
        <v>103</v>
      </c>
      <c r="AF9" s="184"/>
      <c r="AG9" s="187" t="s">
        <v>104</v>
      </c>
      <c r="AH9" s="188" t="s">
        <v>105</v>
      </c>
      <c r="AI9" s="216" t="s">
        <v>100</v>
      </c>
    </row>
    <row r="10" spans="1:35" ht="14.25" thickBot="1" thickTop="1">
      <c r="A10" s="219">
        <v>2200</v>
      </c>
      <c r="B10" s="220">
        <v>10.6</v>
      </c>
      <c r="C10" s="221"/>
      <c r="D10" s="4"/>
      <c r="E10" s="222"/>
      <c r="F10" s="223"/>
      <c r="G10" s="4"/>
      <c r="H10" s="224"/>
      <c r="I10" s="223"/>
      <c r="J10" s="3"/>
      <c r="K10" s="225"/>
      <c r="L10" s="226">
        <v>98.46</v>
      </c>
      <c r="M10" s="227" t="s">
        <v>106</v>
      </c>
      <c r="N10" s="228" t="s">
        <v>106</v>
      </c>
      <c r="O10" s="229"/>
      <c r="P10" s="4"/>
      <c r="Q10" s="222"/>
      <c r="R10" s="230">
        <v>377</v>
      </c>
      <c r="S10" s="231">
        <f t="shared" si="1"/>
        <v>115.83798882681565</v>
      </c>
      <c r="T10" s="232">
        <v>30</v>
      </c>
      <c r="U10" s="233">
        <f t="shared" si="0"/>
        <v>0.2589823969134314</v>
      </c>
      <c r="W10" s="36"/>
      <c r="X10" s="38"/>
      <c r="Y10" s="21"/>
      <c r="Z10" s="38"/>
      <c r="AA10" s="38"/>
      <c r="AB10" s="21" t="s">
        <v>101</v>
      </c>
      <c r="AC10" s="21" t="s">
        <v>107</v>
      </c>
      <c r="AD10" s="184"/>
      <c r="AE10" s="184"/>
      <c r="AF10" s="184"/>
      <c r="AG10" s="187"/>
      <c r="AH10" s="188" t="s">
        <v>108</v>
      </c>
      <c r="AI10" s="34" t="s">
        <v>109</v>
      </c>
    </row>
    <row r="11" spans="1:35" ht="14.25" thickBot="1" thickTop="1">
      <c r="A11" s="34">
        <v>2150</v>
      </c>
      <c r="B11" s="203"/>
      <c r="C11" s="17"/>
      <c r="D11" s="23"/>
      <c r="E11" s="16"/>
      <c r="F11" s="204"/>
      <c r="G11" s="23"/>
      <c r="H11" s="205"/>
      <c r="I11" s="204"/>
      <c r="J11" s="21"/>
      <c r="K11" s="206"/>
      <c r="L11" s="36"/>
      <c r="M11" s="21"/>
      <c r="N11" s="206"/>
      <c r="O11" s="36"/>
      <c r="P11" s="23"/>
      <c r="Q11" s="16"/>
      <c r="R11" s="208">
        <v>418</v>
      </c>
      <c r="S11" s="25">
        <f t="shared" si="1"/>
        <v>125.51675977653632</v>
      </c>
      <c r="T11" s="209">
        <v>30.5</v>
      </c>
      <c r="U11" s="210">
        <f t="shared" si="0"/>
        <v>0.24299543785467898</v>
      </c>
      <c r="W11" s="37" t="s">
        <v>110</v>
      </c>
      <c r="X11" s="39" t="s">
        <v>111</v>
      </c>
      <c r="Y11" s="22" t="s">
        <v>112</v>
      </c>
      <c r="Z11" s="39" t="s">
        <v>112</v>
      </c>
      <c r="AA11" s="39" t="s">
        <v>112</v>
      </c>
      <c r="AB11" s="22" t="s">
        <v>113</v>
      </c>
      <c r="AC11" s="22" t="s">
        <v>111</v>
      </c>
      <c r="AD11" s="234"/>
      <c r="AE11" s="39" t="s">
        <v>111</v>
      </c>
      <c r="AF11" s="234"/>
      <c r="AG11" s="235" t="s">
        <v>111</v>
      </c>
      <c r="AH11" s="236" t="s">
        <v>113</v>
      </c>
      <c r="AI11" s="237" t="s">
        <v>114</v>
      </c>
    </row>
    <row r="12" spans="1:35" ht="16.5" thickBot="1">
      <c r="A12" s="34">
        <v>2100</v>
      </c>
      <c r="B12" s="203"/>
      <c r="C12" s="17"/>
      <c r="D12" s="23"/>
      <c r="E12" s="16"/>
      <c r="F12" s="204"/>
      <c r="G12" s="23"/>
      <c r="H12" s="205"/>
      <c r="I12" s="204"/>
      <c r="J12" s="21"/>
      <c r="K12" s="206"/>
      <c r="L12" s="36"/>
      <c r="M12" s="21"/>
      <c r="N12" s="206"/>
      <c r="O12" s="36"/>
      <c r="P12" s="23"/>
      <c r="Q12" s="16"/>
      <c r="R12" s="208">
        <v>450</v>
      </c>
      <c r="S12" s="25">
        <f t="shared" si="1"/>
        <v>131.9832402234637</v>
      </c>
      <c r="T12" s="209">
        <v>30.6</v>
      </c>
      <c r="U12" s="210">
        <f t="shared" si="0"/>
        <v>0.23184761904761905</v>
      </c>
      <c r="W12" s="238">
        <v>2360</v>
      </c>
      <c r="X12" s="15">
        <v>0</v>
      </c>
      <c r="Y12" s="239">
        <v>12</v>
      </c>
      <c r="Z12" s="15">
        <v>0</v>
      </c>
      <c r="AA12" s="15">
        <v>0</v>
      </c>
      <c r="AB12" s="239">
        <v>0.167</v>
      </c>
      <c r="AC12" s="240">
        <f aca="true" t="shared" si="2" ref="AC12:AC17">Y12/AB12</f>
        <v>71.8562874251497</v>
      </c>
      <c r="AD12" s="241" t="s">
        <v>115</v>
      </c>
      <c r="AE12" s="242">
        <v>0</v>
      </c>
      <c r="AF12" s="243"/>
      <c r="AG12" s="12">
        <f aca="true" t="shared" si="3" ref="AG12:AG17">AC12+AE12</f>
        <v>71.8562874251497</v>
      </c>
      <c r="AH12" s="244" t="s">
        <v>25</v>
      </c>
      <c r="AI12" s="245">
        <f aca="true" t="shared" si="4" ref="AI12:AI17">AE12/AG12</f>
        <v>0</v>
      </c>
    </row>
    <row r="13" spans="1:35" ht="13.5" thickBot="1">
      <c r="A13" s="33"/>
      <c r="B13" s="198"/>
      <c r="C13" s="246">
        <v>1998</v>
      </c>
      <c r="D13" s="247">
        <v>101</v>
      </c>
      <c r="E13" s="246"/>
      <c r="F13" s="248">
        <v>1998</v>
      </c>
      <c r="G13" s="247">
        <v>192.5</v>
      </c>
      <c r="H13" s="249"/>
      <c r="I13" s="248">
        <v>1990</v>
      </c>
      <c r="J13" s="247">
        <v>300</v>
      </c>
      <c r="K13" s="249"/>
      <c r="L13" s="248">
        <v>2000</v>
      </c>
      <c r="M13" s="247">
        <v>403.5</v>
      </c>
      <c r="N13" s="249"/>
      <c r="O13" s="248">
        <v>1990</v>
      </c>
      <c r="P13" s="247">
        <v>505</v>
      </c>
      <c r="Q13" s="250" t="s">
        <v>116</v>
      </c>
      <c r="R13" s="251"/>
      <c r="S13" s="252"/>
      <c r="T13" s="252"/>
      <c r="U13" s="253"/>
      <c r="W13" s="254">
        <v>2200</v>
      </c>
      <c r="X13" s="4">
        <v>115.83798882681565</v>
      </c>
      <c r="Y13" s="255">
        <v>10.6</v>
      </c>
      <c r="Z13" s="256">
        <v>30</v>
      </c>
      <c r="AA13" s="257">
        <f>Z13-Y13</f>
        <v>19.4</v>
      </c>
      <c r="AB13" s="258">
        <f>AA13/X13</f>
        <v>0.1674752833373523</v>
      </c>
      <c r="AC13" s="231">
        <f t="shared" si="2"/>
        <v>63.292921730115765</v>
      </c>
      <c r="AD13" s="259" t="s">
        <v>115</v>
      </c>
      <c r="AE13" s="222">
        <v>115.83798882681565</v>
      </c>
      <c r="AF13" s="184" t="s">
        <v>117</v>
      </c>
      <c r="AG13" s="116">
        <f t="shared" si="3"/>
        <v>179.1309105569314</v>
      </c>
      <c r="AH13" s="221">
        <v>0.259</v>
      </c>
      <c r="AI13" s="260">
        <f t="shared" si="4"/>
        <v>0.6466666666666667</v>
      </c>
    </row>
    <row r="14" spans="1:35" ht="13.5" thickBot="1">
      <c r="A14" s="261">
        <v>2000</v>
      </c>
      <c r="B14" s="262">
        <v>8.7</v>
      </c>
      <c r="C14" s="263">
        <f>C13*D13/7160</f>
        <v>28.1840782122905</v>
      </c>
      <c r="D14" s="264">
        <v>13.3</v>
      </c>
      <c r="E14" s="265">
        <f>D14/C14</f>
        <v>0.47189764021447195</v>
      </c>
      <c r="F14" s="266">
        <f>F13*G13/7160</f>
        <v>53.71717877094972</v>
      </c>
      <c r="G14" s="264">
        <v>17.3</v>
      </c>
      <c r="H14" s="267">
        <f>G14/F14</f>
        <v>0.32205712205712206</v>
      </c>
      <c r="I14" s="266">
        <f>I13*J13/7160</f>
        <v>83.37988826815642</v>
      </c>
      <c r="J14" s="268">
        <v>21.7</v>
      </c>
      <c r="K14" s="267">
        <f>J14/I14</f>
        <v>0.2602546063651591</v>
      </c>
      <c r="L14" s="266">
        <f>L13*M13/7160</f>
        <v>112.70949720670392</v>
      </c>
      <c r="M14" s="269">
        <v>26.2</v>
      </c>
      <c r="N14" s="270">
        <f>M14/L14</f>
        <v>0.23245600991325896</v>
      </c>
      <c r="O14" s="266">
        <f>O13*P13/7160</f>
        <v>140.35614525139664</v>
      </c>
      <c r="P14" s="264">
        <v>30.3</v>
      </c>
      <c r="Q14" s="265">
        <f>P14/O14</f>
        <v>0.21587939698492464</v>
      </c>
      <c r="R14" s="230">
        <v>498</v>
      </c>
      <c r="S14" s="231">
        <f t="shared" si="1"/>
        <v>139.10614525139664</v>
      </c>
      <c r="T14" s="271">
        <v>30.6</v>
      </c>
      <c r="U14" s="272">
        <f>T14/S14</f>
        <v>0.21997590361445785</v>
      </c>
      <c r="W14" s="254">
        <v>2000</v>
      </c>
      <c r="X14" s="4">
        <v>139.10614525139664</v>
      </c>
      <c r="Y14" s="255">
        <v>8.7</v>
      </c>
      <c r="Z14" s="256">
        <v>30.6</v>
      </c>
      <c r="AA14" s="257">
        <f>Z14-Y14</f>
        <v>21.900000000000002</v>
      </c>
      <c r="AB14" s="258">
        <f>AA14/X14</f>
        <v>0.15743373493975907</v>
      </c>
      <c r="AC14" s="231">
        <f t="shared" si="2"/>
        <v>55.26134537384249</v>
      </c>
      <c r="AD14" s="55" t="s">
        <v>115</v>
      </c>
      <c r="AE14" s="222">
        <v>139.10614525139664</v>
      </c>
      <c r="AF14" s="273" t="s">
        <v>117</v>
      </c>
      <c r="AG14" s="13">
        <f t="shared" si="3"/>
        <v>194.36749062523913</v>
      </c>
      <c r="AH14" s="221">
        <v>0.22</v>
      </c>
      <c r="AI14" s="260">
        <f t="shared" si="4"/>
        <v>0.7156862745098039</v>
      </c>
    </row>
    <row r="15" spans="1:35" ht="13.5" thickBot="1">
      <c r="A15" s="274">
        <v>1900</v>
      </c>
      <c r="B15" s="275"/>
      <c r="C15" s="276"/>
      <c r="D15" s="277"/>
      <c r="E15" s="278"/>
      <c r="F15" s="279"/>
      <c r="G15" s="277"/>
      <c r="H15" s="280"/>
      <c r="I15" s="279"/>
      <c r="J15" s="281"/>
      <c r="K15" s="280"/>
      <c r="L15" s="279"/>
      <c r="M15" s="281"/>
      <c r="N15" s="280"/>
      <c r="O15" s="279"/>
      <c r="P15" s="277"/>
      <c r="Q15" s="278"/>
      <c r="R15" s="208">
        <v>536</v>
      </c>
      <c r="S15" s="25">
        <f t="shared" si="1"/>
        <v>142.23463687150837</v>
      </c>
      <c r="T15" s="209">
        <v>30.5</v>
      </c>
      <c r="U15" s="210">
        <f aca="true" t="shared" si="5" ref="U15:U30">T15/S15</f>
        <v>0.2144344069128044</v>
      </c>
      <c r="W15" s="254">
        <v>1800</v>
      </c>
      <c r="X15" s="4">
        <v>143.54748603351956</v>
      </c>
      <c r="Y15" s="255">
        <v>7.2</v>
      </c>
      <c r="Z15" s="256">
        <v>29.8</v>
      </c>
      <c r="AA15" s="257">
        <f>Z15-Y15</f>
        <v>22.6</v>
      </c>
      <c r="AB15" s="258">
        <f>AA15/X15</f>
        <v>0.1574391905039891</v>
      </c>
      <c r="AC15" s="231">
        <f t="shared" si="2"/>
        <v>45.73194245315667</v>
      </c>
      <c r="AD15" s="259" t="s">
        <v>115</v>
      </c>
      <c r="AE15" s="222">
        <v>143.54748603351956</v>
      </c>
      <c r="AF15" s="184" t="s">
        <v>117</v>
      </c>
      <c r="AG15" s="116">
        <f t="shared" si="3"/>
        <v>189.27942848667624</v>
      </c>
      <c r="AH15" s="221">
        <v>0.208</v>
      </c>
      <c r="AI15" s="260">
        <f t="shared" si="4"/>
        <v>0.7583892617449665</v>
      </c>
    </row>
    <row r="16" spans="1:35" ht="14.25" thickBot="1" thickTop="1">
      <c r="A16" s="34"/>
      <c r="B16" s="203"/>
      <c r="C16" s="282">
        <v>1800</v>
      </c>
      <c r="D16" s="283">
        <v>107</v>
      </c>
      <c r="E16" s="282"/>
      <c r="F16" s="284">
        <v>1800</v>
      </c>
      <c r="G16" s="283">
        <v>205</v>
      </c>
      <c r="H16" s="285"/>
      <c r="I16" s="284">
        <v>1803</v>
      </c>
      <c r="J16" s="283">
        <v>313</v>
      </c>
      <c r="K16" s="285"/>
      <c r="L16" s="284">
        <v>1800</v>
      </c>
      <c r="M16" s="283">
        <v>401</v>
      </c>
      <c r="N16" s="285"/>
      <c r="O16" s="284">
        <v>1783</v>
      </c>
      <c r="P16" s="283">
        <v>494</v>
      </c>
      <c r="Q16" s="286" t="s">
        <v>118</v>
      </c>
      <c r="R16" s="251"/>
      <c r="S16" s="287" t="s">
        <v>119</v>
      </c>
      <c r="T16" s="288"/>
      <c r="U16" s="289"/>
      <c r="W16" s="254">
        <v>1600</v>
      </c>
      <c r="X16" s="4">
        <v>137.6536312849162</v>
      </c>
      <c r="Y16" s="255">
        <v>5.9</v>
      </c>
      <c r="Z16" s="256">
        <v>28</v>
      </c>
      <c r="AA16" s="257">
        <f>Z16-Y16</f>
        <v>22.1</v>
      </c>
      <c r="AB16" s="258">
        <f>AA16/X16</f>
        <v>0.16054788961038963</v>
      </c>
      <c r="AC16" s="231">
        <f t="shared" si="2"/>
        <v>36.749159483303416</v>
      </c>
      <c r="AD16" s="259" t="s">
        <v>115</v>
      </c>
      <c r="AE16" s="222">
        <v>137.6536312849162</v>
      </c>
      <c r="AF16" s="184" t="s">
        <v>117</v>
      </c>
      <c r="AG16" s="116">
        <f t="shared" si="3"/>
        <v>174.40279076821963</v>
      </c>
      <c r="AH16" s="221">
        <v>0.203</v>
      </c>
      <c r="AI16" s="260">
        <f t="shared" si="4"/>
        <v>0.7892857142857143</v>
      </c>
    </row>
    <row r="17" spans="1:35" ht="14.25" thickBot="1" thickTop="1">
      <c r="A17" s="261">
        <v>1800</v>
      </c>
      <c r="B17" s="262">
        <v>7.2</v>
      </c>
      <c r="C17" s="290">
        <f>C16*D16/7160</f>
        <v>26.899441340782122</v>
      </c>
      <c r="D17" s="264">
        <v>11.1</v>
      </c>
      <c r="E17" s="291">
        <f>D17/C17</f>
        <v>0.41264797507788165</v>
      </c>
      <c r="F17" s="292">
        <f>F16*G16/7160</f>
        <v>51.53631284916201</v>
      </c>
      <c r="G17" s="264">
        <v>15</v>
      </c>
      <c r="H17" s="293">
        <f>G17/F17</f>
        <v>0.2910569105691057</v>
      </c>
      <c r="I17" s="292">
        <f>I16*J16/7160</f>
        <v>78.81829608938547</v>
      </c>
      <c r="J17" s="268">
        <v>18.9</v>
      </c>
      <c r="K17" s="293">
        <f>J17/I17</f>
        <v>0.23979203989091663</v>
      </c>
      <c r="L17" s="292">
        <f>L16*M16/7160</f>
        <v>100.81005586592178</v>
      </c>
      <c r="M17" s="268">
        <v>22</v>
      </c>
      <c r="N17" s="293">
        <f>M17/L17</f>
        <v>0.21823219728456636</v>
      </c>
      <c r="O17" s="292">
        <f>O16*P16/7160</f>
        <v>123.01703910614525</v>
      </c>
      <c r="P17" s="264">
        <v>26.2</v>
      </c>
      <c r="Q17" s="291">
        <f>P17/O17</f>
        <v>0.21297862629739714</v>
      </c>
      <c r="R17" s="294">
        <v>571</v>
      </c>
      <c r="S17" s="295">
        <f t="shared" si="1"/>
        <v>143.54748603351956</v>
      </c>
      <c r="T17" s="296">
        <v>29.8</v>
      </c>
      <c r="U17" s="297">
        <f t="shared" si="5"/>
        <v>0.20759680871764935</v>
      </c>
      <c r="W17" s="298">
        <v>1400</v>
      </c>
      <c r="X17" s="9">
        <v>126.89944134078212</v>
      </c>
      <c r="Y17" s="268">
        <v>4.8</v>
      </c>
      <c r="Z17" s="299">
        <v>25.8</v>
      </c>
      <c r="AA17" s="300">
        <f>Z17-Y17</f>
        <v>21</v>
      </c>
      <c r="AB17" s="301">
        <f>AA17/X17</f>
        <v>0.16548536209553158</v>
      </c>
      <c r="AC17" s="302">
        <f t="shared" si="2"/>
        <v>29.005586592178773</v>
      </c>
      <c r="AD17" s="303" t="s">
        <v>115</v>
      </c>
      <c r="AE17" s="304">
        <v>126.89944134078212</v>
      </c>
      <c r="AF17" s="234" t="s">
        <v>117</v>
      </c>
      <c r="AG17" s="305">
        <f t="shared" si="3"/>
        <v>155.90502793296088</v>
      </c>
      <c r="AH17" s="306">
        <v>0.203</v>
      </c>
      <c r="AI17" s="307">
        <f t="shared" si="4"/>
        <v>0.8139534883720931</v>
      </c>
    </row>
    <row r="18" spans="1:35" ht="12.75">
      <c r="A18" s="34"/>
      <c r="B18" s="203"/>
      <c r="C18" s="308">
        <v>1791</v>
      </c>
      <c r="D18" s="309">
        <v>102</v>
      </c>
      <c r="E18" s="310"/>
      <c r="F18" s="311">
        <v>1782</v>
      </c>
      <c r="G18" s="309">
        <v>205</v>
      </c>
      <c r="H18" s="312"/>
      <c r="I18" s="311">
        <v>1795</v>
      </c>
      <c r="J18" s="309">
        <v>296.5</v>
      </c>
      <c r="K18" s="312"/>
      <c r="L18" s="311">
        <v>1807</v>
      </c>
      <c r="M18" s="309">
        <v>392.5</v>
      </c>
      <c r="N18" s="312"/>
      <c r="O18" s="311">
        <v>1795</v>
      </c>
      <c r="P18" s="309">
        <v>494</v>
      </c>
      <c r="Q18" s="313" t="s">
        <v>116</v>
      </c>
      <c r="R18" s="314"/>
      <c r="S18" s="315"/>
      <c r="T18" s="315"/>
      <c r="U18" s="316"/>
      <c r="W18" s="1"/>
      <c r="X18" s="1"/>
      <c r="Y18" s="1"/>
      <c r="Z18" s="1"/>
      <c r="AA18" s="1"/>
      <c r="AB18" s="1"/>
      <c r="AC18" s="1"/>
      <c r="AG18" s="1"/>
      <c r="AI18" s="1" t="s">
        <v>120</v>
      </c>
    </row>
    <row r="19" spans="1:33" ht="13.5" thickBot="1">
      <c r="A19" s="317">
        <v>1800</v>
      </c>
      <c r="B19" s="318"/>
      <c r="C19" s="319">
        <f>C18*D18/7160</f>
        <v>25.514245810055865</v>
      </c>
      <c r="D19" s="320">
        <v>10.6</v>
      </c>
      <c r="E19" s="321">
        <f>D19/C19</f>
        <v>0.4154541772041033</v>
      </c>
      <c r="F19" s="322">
        <f>F18*G18/7160</f>
        <v>51.020949720670394</v>
      </c>
      <c r="G19" s="320">
        <v>14.2</v>
      </c>
      <c r="H19" s="323">
        <f>G19/F19</f>
        <v>0.27831704579672056</v>
      </c>
      <c r="I19" s="322">
        <f>I18*J18/7160</f>
        <v>74.3320530726257</v>
      </c>
      <c r="J19" s="324">
        <v>18.1</v>
      </c>
      <c r="K19" s="323">
        <f>J19/I19</f>
        <v>0.24350195173965533</v>
      </c>
      <c r="L19" s="322">
        <f>L18*M18/7160</f>
        <v>99.05691340782123</v>
      </c>
      <c r="M19" s="324">
        <v>21.9</v>
      </c>
      <c r="N19" s="323">
        <f>M19/L19</f>
        <v>0.22108502321122034</v>
      </c>
      <c r="O19" s="322">
        <f>O18*P18/7160</f>
        <v>123.84497206703911</v>
      </c>
      <c r="P19" s="320">
        <v>26</v>
      </c>
      <c r="Q19" s="321">
        <f>P19/O19</f>
        <v>0.20993989151150858</v>
      </c>
      <c r="R19" s="325" t="s">
        <v>121</v>
      </c>
      <c r="S19" s="326"/>
      <c r="T19" s="326"/>
      <c r="U19" s="327"/>
      <c r="W19" s="79" t="s">
        <v>122</v>
      </c>
      <c r="X19" s="1"/>
      <c r="Y19" s="1"/>
      <c r="Z19" s="1"/>
      <c r="AA19" s="1"/>
      <c r="AB19" s="1"/>
      <c r="AC19" s="1"/>
      <c r="AG19" s="1"/>
    </row>
    <row r="20" spans="1:23" ht="14.25" thickBot="1" thickTop="1">
      <c r="A20" s="36">
        <v>1700</v>
      </c>
      <c r="B20" s="203"/>
      <c r="C20" s="328"/>
      <c r="D20" s="209"/>
      <c r="E20" s="210"/>
      <c r="F20" s="204"/>
      <c r="G20" s="209"/>
      <c r="H20" s="210"/>
      <c r="I20" s="16"/>
      <c r="J20" s="214"/>
      <c r="K20" s="54"/>
      <c r="L20" s="204"/>
      <c r="M20" s="214"/>
      <c r="N20" s="210"/>
      <c r="O20" s="204"/>
      <c r="P20" s="209"/>
      <c r="Q20" s="54"/>
      <c r="R20" s="208">
        <v>598</v>
      </c>
      <c r="S20" s="25">
        <f t="shared" si="1"/>
        <v>141.9832402234637</v>
      </c>
      <c r="T20" s="209">
        <v>29</v>
      </c>
      <c r="U20" s="210">
        <f t="shared" si="5"/>
        <v>0.20424945898091676</v>
      </c>
      <c r="W20" t="s">
        <v>123</v>
      </c>
    </row>
    <row r="21" spans="1:21" ht="14.25" thickBot="1" thickTop="1">
      <c r="A21" s="36">
        <v>1650</v>
      </c>
      <c r="B21" s="203"/>
      <c r="C21" s="329"/>
      <c r="D21" s="209"/>
      <c r="E21" s="210"/>
      <c r="F21" s="204"/>
      <c r="G21" s="209"/>
      <c r="H21" s="210"/>
      <c r="I21" s="16"/>
      <c r="J21" s="214"/>
      <c r="K21" s="54"/>
      <c r="L21" s="204"/>
      <c r="M21" s="214"/>
      <c r="N21" s="210"/>
      <c r="O21" s="204"/>
      <c r="P21" s="209"/>
      <c r="Q21" s="54"/>
      <c r="R21" s="208">
        <v>614</v>
      </c>
      <c r="S21" s="25">
        <f t="shared" si="1"/>
        <v>141.49441340782124</v>
      </c>
      <c r="T21" s="115">
        <v>28.4</v>
      </c>
      <c r="U21" s="233">
        <f t="shared" si="5"/>
        <v>0.20071463823906818</v>
      </c>
    </row>
    <row r="22" spans="1:33" ht="13.5" thickTop="1">
      <c r="A22" s="172"/>
      <c r="B22" s="198"/>
      <c r="C22" s="248">
        <v>1591</v>
      </c>
      <c r="D22" s="247">
        <v>101</v>
      </c>
      <c r="E22" s="249"/>
      <c r="F22" s="248">
        <v>1604</v>
      </c>
      <c r="G22" s="247">
        <v>190</v>
      </c>
      <c r="H22" s="249"/>
      <c r="I22" s="246">
        <v>1612</v>
      </c>
      <c r="J22" s="247">
        <v>313</v>
      </c>
      <c r="K22" s="246"/>
      <c r="L22" s="248">
        <v>1600</v>
      </c>
      <c r="M22" s="247">
        <v>410</v>
      </c>
      <c r="N22" s="249"/>
      <c r="O22" s="248">
        <v>1595</v>
      </c>
      <c r="P22" s="247">
        <v>519</v>
      </c>
      <c r="Q22" s="250" t="s">
        <v>118</v>
      </c>
      <c r="R22" s="330"/>
      <c r="S22" s="331" t="s">
        <v>124</v>
      </c>
      <c r="T22" s="288"/>
      <c r="U22" s="332"/>
      <c r="W22" s="79" t="s">
        <v>125</v>
      </c>
      <c r="X22" s="1"/>
      <c r="Y22" s="1"/>
      <c r="Z22" s="1"/>
      <c r="AA22" s="1"/>
      <c r="AB22" s="1"/>
      <c r="AC22" s="1"/>
      <c r="AG22" s="1"/>
    </row>
    <row r="23" spans="1:33" ht="13.5" thickBot="1">
      <c r="A23" s="333">
        <v>1600</v>
      </c>
      <c r="B23" s="262">
        <v>5.9</v>
      </c>
      <c r="C23" s="334">
        <f>C22*D22/7160</f>
        <v>22.44287709497207</v>
      </c>
      <c r="D23" s="264">
        <v>9</v>
      </c>
      <c r="E23" s="267">
        <f>D23/C23</f>
        <v>0.40101810306737773</v>
      </c>
      <c r="F23" s="266">
        <f>F22*G22/7160</f>
        <v>42.564245810055866</v>
      </c>
      <c r="G23" s="264">
        <v>12.5</v>
      </c>
      <c r="H23" s="267">
        <f>G23/F23</f>
        <v>0.2936737104606904</v>
      </c>
      <c r="I23" s="263">
        <f>I22*J22/7160</f>
        <v>70.46871508379888</v>
      </c>
      <c r="J23" s="268">
        <v>15.9</v>
      </c>
      <c r="K23" s="265">
        <f>J23/I23</f>
        <v>0.225632040843831</v>
      </c>
      <c r="L23" s="266">
        <f>L22*M22/7160</f>
        <v>91.62011173184358</v>
      </c>
      <c r="M23" s="268">
        <v>19.9</v>
      </c>
      <c r="N23" s="267">
        <f>M23/L23</f>
        <v>0.2172012195121951</v>
      </c>
      <c r="O23" s="266">
        <f>O22*P22/7160</f>
        <v>115.61522346368714</v>
      </c>
      <c r="P23" s="264">
        <v>23</v>
      </c>
      <c r="Q23" s="265">
        <f>P23/O23</f>
        <v>0.19893573969715092</v>
      </c>
      <c r="R23" s="230">
        <v>616</v>
      </c>
      <c r="S23" s="231">
        <f t="shared" si="1"/>
        <v>137.6536312849162</v>
      </c>
      <c r="T23" s="271">
        <v>28</v>
      </c>
      <c r="U23" s="272">
        <f t="shared" si="5"/>
        <v>0.2034090909090909</v>
      </c>
      <c r="W23" s="1">
        <v>2360</v>
      </c>
      <c r="X23" t="s">
        <v>126</v>
      </c>
      <c r="AC23" s="79" t="s">
        <v>127</v>
      </c>
      <c r="AG23" s="1"/>
    </row>
    <row r="24" spans="1:33" ht="12.75">
      <c r="A24" s="36">
        <v>1550</v>
      </c>
      <c r="B24" s="203"/>
      <c r="C24" s="335"/>
      <c r="D24" s="336"/>
      <c r="E24" s="205"/>
      <c r="F24" s="204"/>
      <c r="G24" s="336"/>
      <c r="H24" s="205"/>
      <c r="I24" s="16"/>
      <c r="J24" s="214"/>
      <c r="K24" s="16"/>
      <c r="L24" s="204"/>
      <c r="M24" s="214"/>
      <c r="N24" s="205"/>
      <c r="O24" s="204"/>
      <c r="P24" s="336"/>
      <c r="Q24" s="16"/>
      <c r="R24" s="208">
        <v>625</v>
      </c>
      <c r="S24" s="25">
        <f t="shared" si="1"/>
        <v>135.30027932960894</v>
      </c>
      <c r="T24" s="209">
        <v>27.3</v>
      </c>
      <c r="U24" s="210">
        <f t="shared" si="5"/>
        <v>0.20177341935483872</v>
      </c>
      <c r="W24" s="17">
        <v>2200</v>
      </c>
      <c r="X24" s="79" t="s">
        <v>128</v>
      </c>
      <c r="Y24" s="1"/>
      <c r="Z24" s="1"/>
      <c r="AA24" s="1"/>
      <c r="AB24" s="1"/>
      <c r="AC24" s="337" t="s">
        <v>129</v>
      </c>
      <c r="AG24" s="1"/>
    </row>
    <row r="25" spans="1:33" ht="12.75">
      <c r="A25" s="36">
        <v>1500</v>
      </c>
      <c r="B25" s="203"/>
      <c r="C25" s="335"/>
      <c r="D25" s="336"/>
      <c r="E25" s="205"/>
      <c r="F25" s="204"/>
      <c r="G25" s="336"/>
      <c r="H25" s="205"/>
      <c r="I25" s="16"/>
      <c r="J25" s="214"/>
      <c r="K25" s="16"/>
      <c r="L25" s="204"/>
      <c r="M25" s="214"/>
      <c r="N25" s="205"/>
      <c r="O25" s="204"/>
      <c r="P25" s="336"/>
      <c r="Q25" s="16"/>
      <c r="R25" s="208">
        <v>634</v>
      </c>
      <c r="S25" s="25">
        <f t="shared" si="1"/>
        <v>132.82122905027933</v>
      </c>
      <c r="T25" s="209">
        <v>26.9</v>
      </c>
      <c r="U25" s="210">
        <f t="shared" si="5"/>
        <v>0.202527865404837</v>
      </c>
      <c r="W25" s="17">
        <v>2000</v>
      </c>
      <c r="X25" s="79" t="s">
        <v>130</v>
      </c>
      <c r="Y25" s="1"/>
      <c r="Z25" s="1"/>
      <c r="AA25" s="1"/>
      <c r="AB25" s="1"/>
      <c r="AC25" s="337" t="s">
        <v>131</v>
      </c>
      <c r="AG25" s="1"/>
    </row>
    <row r="26" spans="1:33" ht="12.75">
      <c r="A26" s="36">
        <v>1450</v>
      </c>
      <c r="B26" s="203"/>
      <c r="C26" s="335"/>
      <c r="D26" s="336"/>
      <c r="E26" s="205"/>
      <c r="F26" s="204"/>
      <c r="G26" s="336"/>
      <c r="H26" s="205"/>
      <c r="I26" s="16"/>
      <c r="J26" s="214"/>
      <c r="K26" s="16"/>
      <c r="L26" s="204"/>
      <c r="M26" s="214"/>
      <c r="N26" s="205"/>
      <c r="O26" s="204"/>
      <c r="P26" s="336"/>
      <c r="Q26" s="16"/>
      <c r="R26" s="208">
        <v>643</v>
      </c>
      <c r="S26" s="25">
        <f t="shared" si="1"/>
        <v>130.21648044692736</v>
      </c>
      <c r="T26" s="209">
        <v>26.4</v>
      </c>
      <c r="U26" s="210">
        <f t="shared" si="5"/>
        <v>0.20273931463506195</v>
      </c>
      <c r="W26" s="17">
        <v>1800</v>
      </c>
      <c r="X26" s="79" t="s">
        <v>132</v>
      </c>
      <c r="Y26" s="1"/>
      <c r="Z26" s="1"/>
      <c r="AA26" s="1"/>
      <c r="AB26" s="1"/>
      <c r="AC26" s="337"/>
      <c r="AG26" s="1"/>
    </row>
    <row r="27" spans="1:33" ht="12.75">
      <c r="A27" s="229">
        <v>1400</v>
      </c>
      <c r="B27" s="220">
        <v>4.8</v>
      </c>
      <c r="C27" s="229"/>
      <c r="D27" s="5"/>
      <c r="E27" s="338"/>
      <c r="F27" s="339"/>
      <c r="G27" s="4"/>
      <c r="H27" s="224"/>
      <c r="I27" s="222"/>
      <c r="J27" s="3"/>
      <c r="K27" s="221"/>
      <c r="L27" s="229"/>
      <c r="M27" s="3"/>
      <c r="N27" s="225"/>
      <c r="O27" s="229"/>
      <c r="P27" s="4"/>
      <c r="Q27" s="222"/>
      <c r="R27" s="230">
        <v>649</v>
      </c>
      <c r="S27" s="231">
        <f t="shared" si="1"/>
        <v>126.89944134078212</v>
      </c>
      <c r="T27" s="271">
        <v>25.8</v>
      </c>
      <c r="U27" s="272">
        <f t="shared" si="5"/>
        <v>0.2033105877173674</v>
      </c>
      <c r="W27" s="17">
        <v>1600</v>
      </c>
      <c r="X27" s="79" t="s">
        <v>133</v>
      </c>
      <c r="Y27" s="1"/>
      <c r="Z27" s="1"/>
      <c r="AA27" s="1"/>
      <c r="AB27" s="1"/>
      <c r="AC27" s="337" t="s">
        <v>134</v>
      </c>
      <c r="AG27" s="1"/>
    </row>
    <row r="28" spans="1:33" ht="13.5" thickBot="1">
      <c r="A28" s="36">
        <v>1350</v>
      </c>
      <c r="B28" s="203"/>
      <c r="C28" s="36"/>
      <c r="D28" s="340"/>
      <c r="E28" s="341"/>
      <c r="F28" s="342"/>
      <c r="G28" s="23"/>
      <c r="H28" s="205"/>
      <c r="I28" s="16"/>
      <c r="J28" s="21"/>
      <c r="K28" s="17"/>
      <c r="L28" s="36"/>
      <c r="M28" s="21"/>
      <c r="N28" s="206"/>
      <c r="O28" s="36"/>
      <c r="P28" s="23"/>
      <c r="Q28" s="16"/>
      <c r="R28" s="208">
        <v>655</v>
      </c>
      <c r="S28" s="25">
        <f t="shared" si="1"/>
        <v>123.49860335195531</v>
      </c>
      <c r="T28" s="209">
        <v>25.2</v>
      </c>
      <c r="U28" s="210">
        <f t="shared" si="5"/>
        <v>0.20405089058524173</v>
      </c>
      <c r="W28" s="17">
        <v>1400</v>
      </c>
      <c r="X28" s="79" t="s">
        <v>135</v>
      </c>
      <c r="Y28" s="1"/>
      <c r="Z28" s="1"/>
      <c r="AA28" s="1"/>
      <c r="AB28" s="1"/>
      <c r="AC28" s="337" t="s">
        <v>136</v>
      </c>
      <c r="AG28" s="1"/>
    </row>
    <row r="29" spans="1:33" ht="14.25" thickBot="1" thickTop="1">
      <c r="A29" s="36">
        <v>1300</v>
      </c>
      <c r="B29" s="203"/>
      <c r="C29" s="36"/>
      <c r="D29" s="340"/>
      <c r="E29" s="341"/>
      <c r="F29" s="342"/>
      <c r="G29" s="23"/>
      <c r="H29" s="205"/>
      <c r="I29" s="16"/>
      <c r="J29" s="21"/>
      <c r="K29" s="17"/>
      <c r="L29" s="36"/>
      <c r="M29" s="21"/>
      <c r="N29" s="206"/>
      <c r="O29" s="421" t="s">
        <v>137</v>
      </c>
      <c r="P29" s="422"/>
      <c r="Q29" s="422"/>
      <c r="R29" s="343">
        <v>657</v>
      </c>
      <c r="S29" s="16">
        <f t="shared" si="1"/>
        <v>119.2877094972067</v>
      </c>
      <c r="T29" s="209">
        <v>24.4</v>
      </c>
      <c r="U29" s="210">
        <f t="shared" si="5"/>
        <v>0.20454747687624397</v>
      </c>
      <c r="W29" s="79" t="s">
        <v>138</v>
      </c>
      <c r="X29" s="1"/>
      <c r="Y29" s="1"/>
      <c r="Z29" s="1"/>
      <c r="AA29" s="1"/>
      <c r="AB29" s="1"/>
      <c r="AC29" s="337" t="s">
        <v>139</v>
      </c>
      <c r="AG29" s="1"/>
    </row>
    <row r="30" spans="1:33" ht="13.5" thickTop="1">
      <c r="A30" s="36">
        <v>1250</v>
      </c>
      <c r="B30" s="203"/>
      <c r="C30" s="36"/>
      <c r="D30" s="340"/>
      <c r="E30" s="341"/>
      <c r="F30" s="342"/>
      <c r="G30" s="23"/>
      <c r="H30" s="205"/>
      <c r="I30" s="16"/>
      <c r="J30" s="21"/>
      <c r="K30" s="17"/>
      <c r="L30" s="36"/>
      <c r="M30" s="344"/>
      <c r="N30" s="206"/>
      <c r="O30" s="36"/>
      <c r="P30" s="23"/>
      <c r="Q30" s="16"/>
      <c r="R30" s="208">
        <v>656</v>
      </c>
      <c r="S30" s="25">
        <f t="shared" si="1"/>
        <v>114.52513966480447</v>
      </c>
      <c r="T30" s="209">
        <v>23.6</v>
      </c>
      <c r="U30" s="210">
        <f t="shared" si="5"/>
        <v>0.20606829268292684</v>
      </c>
      <c r="W30" s="79"/>
      <c r="X30" s="1"/>
      <c r="Y30" s="1"/>
      <c r="Z30" s="1"/>
      <c r="AA30" s="1"/>
      <c r="AB30" s="1"/>
      <c r="AC30" s="79" t="s">
        <v>140</v>
      </c>
      <c r="AG30" s="1"/>
    </row>
    <row r="31" spans="1:32" ht="12.75">
      <c r="A31" s="36">
        <v>1200</v>
      </c>
      <c r="B31" s="220">
        <v>3.8</v>
      </c>
      <c r="C31" s="229"/>
      <c r="D31" s="4"/>
      <c r="E31" s="224"/>
      <c r="F31" s="223"/>
      <c r="G31" s="4"/>
      <c r="H31" s="224"/>
      <c r="I31" s="222"/>
      <c r="J31" s="3"/>
      <c r="K31" s="221"/>
      <c r="L31" s="229"/>
      <c r="M31" s="3"/>
      <c r="N31" s="225"/>
      <c r="O31" s="229"/>
      <c r="P31" s="4"/>
      <c r="Q31" s="222"/>
      <c r="R31" s="345"/>
      <c r="S31" s="231"/>
      <c r="T31" s="4"/>
      <c r="U31" s="272"/>
      <c r="W31" s="79" t="s">
        <v>141</v>
      </c>
      <c r="X31" s="1"/>
      <c r="Y31" s="1"/>
      <c r="Z31" s="1"/>
      <c r="AA31" s="1"/>
      <c r="AB31" s="1"/>
      <c r="AC31" s="346"/>
      <c r="AD31" s="55"/>
      <c r="AE31" s="55"/>
      <c r="AF31" s="55"/>
    </row>
    <row r="32" spans="1:32" ht="13.5" thickBot="1">
      <c r="A32" s="36">
        <v>1000</v>
      </c>
      <c r="B32" s="203">
        <v>3.15</v>
      </c>
      <c r="C32" s="37"/>
      <c r="D32" s="24"/>
      <c r="E32" s="88"/>
      <c r="F32" s="347"/>
      <c r="G32" s="24"/>
      <c r="H32" s="88"/>
      <c r="I32" s="18"/>
      <c r="J32" s="22"/>
      <c r="K32" s="193"/>
      <c r="L32" s="37"/>
      <c r="M32" s="22"/>
      <c r="N32" s="194"/>
      <c r="O32" s="37"/>
      <c r="P32" s="24"/>
      <c r="Q32" s="18"/>
      <c r="R32" s="348"/>
      <c r="S32" s="26"/>
      <c r="T32" s="24"/>
      <c r="U32" s="349"/>
      <c r="W32" s="55"/>
      <c r="X32" s="50"/>
      <c r="Y32" s="53"/>
      <c r="Z32" s="55"/>
      <c r="AA32" s="55"/>
      <c r="AB32" s="55"/>
      <c r="AC32" s="346"/>
      <c r="AD32" s="55"/>
      <c r="AE32" s="55"/>
      <c r="AF32" s="55"/>
    </row>
    <row r="33" spans="1:32" ht="12.75">
      <c r="A33" s="36">
        <v>800</v>
      </c>
      <c r="B33" s="203">
        <v>2.4</v>
      </c>
      <c r="C33" s="350" t="s">
        <v>142</v>
      </c>
      <c r="D33" s="351"/>
      <c r="E33" s="90"/>
      <c r="F33" s="90"/>
      <c r="G33" s="90"/>
      <c r="H33" s="90"/>
      <c r="I33" s="87"/>
      <c r="J33" s="350" t="s">
        <v>143</v>
      </c>
      <c r="K33" s="167"/>
      <c r="L33" s="167"/>
      <c r="M33" s="167"/>
      <c r="N33" s="167"/>
      <c r="O33" s="167"/>
      <c r="P33" s="90"/>
      <c r="Q33" s="90"/>
      <c r="R33" s="352"/>
      <c r="S33" s="90"/>
      <c r="T33" s="90"/>
      <c r="U33" s="87"/>
      <c r="W33" s="55"/>
      <c r="X33" s="50"/>
      <c r="Y33" s="16"/>
      <c r="Z33" s="55"/>
      <c r="AA33" s="55"/>
      <c r="AB33" s="55"/>
      <c r="AC33" s="346"/>
      <c r="AD33" s="55"/>
      <c r="AE33" s="55"/>
      <c r="AF33" s="55"/>
    </row>
    <row r="34" spans="1:32" ht="13.5" thickBot="1">
      <c r="A34" s="37">
        <v>720</v>
      </c>
      <c r="B34" s="203">
        <v>2.1</v>
      </c>
      <c r="C34" s="353" t="s">
        <v>144</v>
      </c>
      <c r="D34" s="18"/>
      <c r="E34" s="18"/>
      <c r="F34" s="18"/>
      <c r="G34" s="18"/>
      <c r="H34" s="18"/>
      <c r="I34" s="88"/>
      <c r="J34" s="354" t="s">
        <v>145</v>
      </c>
      <c r="K34" s="17"/>
      <c r="L34" s="17"/>
      <c r="M34" s="17"/>
      <c r="N34" s="17"/>
      <c r="O34" s="28" t="s">
        <v>146</v>
      </c>
      <c r="P34" s="16"/>
      <c r="Q34" s="16"/>
      <c r="R34" s="57"/>
      <c r="S34" s="16"/>
      <c r="T34" s="55"/>
      <c r="U34" s="341"/>
      <c r="W34" s="55"/>
      <c r="X34" s="50"/>
      <c r="Y34" s="55"/>
      <c r="Z34" s="55"/>
      <c r="AA34" s="55"/>
      <c r="AB34" s="55"/>
      <c r="AC34" s="346"/>
      <c r="AD34" s="55"/>
      <c r="AE34" s="55"/>
      <c r="AF34" s="55"/>
    </row>
    <row r="35" spans="1:32" ht="13.5" thickBot="1">
      <c r="A35" s="1"/>
      <c r="B35" s="355" t="s">
        <v>147</v>
      </c>
      <c r="C35" s="356"/>
      <c r="D35" s="357"/>
      <c r="E35" s="357"/>
      <c r="F35" s="357"/>
      <c r="G35" s="357"/>
      <c r="H35" s="357"/>
      <c r="I35" s="358"/>
      <c r="J35" s="359" t="s">
        <v>148</v>
      </c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60"/>
      <c r="W35" s="55"/>
      <c r="X35" s="50"/>
      <c r="Y35" s="55"/>
      <c r="Z35" s="55"/>
      <c r="AA35" s="55"/>
      <c r="AB35" s="55"/>
      <c r="AC35" s="55"/>
      <c r="AD35" s="55"/>
      <c r="AE35" s="55"/>
      <c r="AF35" s="55"/>
    </row>
    <row r="36" spans="3:32" ht="12.75">
      <c r="C36" s="361" t="s">
        <v>149</v>
      </c>
      <c r="D36" s="351"/>
      <c r="E36" s="351"/>
      <c r="F36" s="351"/>
      <c r="G36" s="351"/>
      <c r="H36" s="351"/>
      <c r="I36" s="362"/>
      <c r="J36" s="361" t="s">
        <v>150</v>
      </c>
      <c r="K36" s="167"/>
      <c r="L36" s="167"/>
      <c r="M36" s="167"/>
      <c r="N36" s="167"/>
      <c r="O36" s="167"/>
      <c r="P36" s="90"/>
      <c r="Q36" s="90"/>
      <c r="R36" s="352"/>
      <c r="S36" s="90"/>
      <c r="T36" s="90"/>
      <c r="U36" s="87"/>
      <c r="W36" s="55"/>
      <c r="X36" s="55"/>
      <c r="Y36" s="55"/>
      <c r="Z36" s="55"/>
      <c r="AA36" s="55"/>
      <c r="AB36" s="55"/>
      <c r="AC36" s="55"/>
      <c r="AD36" s="55"/>
      <c r="AE36" s="55"/>
      <c r="AF36" s="55"/>
    </row>
    <row r="37" spans="3:32" ht="13.5" thickBot="1">
      <c r="C37" s="363" t="s">
        <v>151</v>
      </c>
      <c r="D37" s="303"/>
      <c r="E37" s="303"/>
      <c r="F37" s="303"/>
      <c r="G37" s="303"/>
      <c r="H37" s="303"/>
      <c r="I37" s="360"/>
      <c r="J37" s="364" t="s">
        <v>152</v>
      </c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186"/>
      <c r="W37" s="55"/>
      <c r="X37" s="55"/>
      <c r="Y37" s="55"/>
      <c r="Z37" s="55"/>
      <c r="AA37" s="55"/>
      <c r="AB37" s="55"/>
      <c r="AC37" s="55"/>
      <c r="AD37" s="55"/>
      <c r="AE37" s="55"/>
      <c r="AF37" s="55"/>
    </row>
    <row r="38" spans="10:32" ht="13.5" thickBot="1">
      <c r="J38" s="365" t="s">
        <v>153</v>
      </c>
      <c r="K38" s="303"/>
      <c r="L38" s="303"/>
      <c r="M38" s="303"/>
      <c r="N38" s="303"/>
      <c r="O38" s="303" t="s">
        <v>154</v>
      </c>
      <c r="P38" s="303"/>
      <c r="Q38" s="303"/>
      <c r="R38" s="303"/>
      <c r="S38" s="303"/>
      <c r="T38" s="303"/>
      <c r="U38" s="360"/>
      <c r="W38" s="55"/>
      <c r="X38" s="55"/>
      <c r="Y38" s="55"/>
      <c r="Z38" s="55"/>
      <c r="AA38" s="55"/>
      <c r="AB38" s="55"/>
      <c r="AC38" s="55"/>
      <c r="AD38" s="55"/>
      <c r="AE38" s="55"/>
      <c r="AF38" s="55"/>
    </row>
    <row r="39" spans="2:32" ht="12.75">
      <c r="B39" s="366" t="s">
        <v>155</v>
      </c>
      <c r="T39" t="s">
        <v>156</v>
      </c>
      <c r="W39" s="55"/>
      <c r="X39" s="55"/>
      <c r="Y39" s="55"/>
      <c r="Z39" s="55"/>
      <c r="AA39" s="55"/>
      <c r="AB39" s="55"/>
      <c r="AC39" s="55"/>
      <c r="AD39" s="55"/>
      <c r="AE39" s="55"/>
      <c r="AF39" s="55"/>
    </row>
    <row r="40" ht="12.75">
      <c r="B40" s="366" t="s">
        <v>157</v>
      </c>
    </row>
    <row r="42" ht="15.75">
      <c r="A42" s="367" t="s">
        <v>158</v>
      </c>
    </row>
    <row r="43" ht="12.75">
      <c r="A43" t="s">
        <v>159</v>
      </c>
    </row>
    <row r="44" ht="12.75">
      <c r="A44" t="s">
        <v>160</v>
      </c>
    </row>
    <row r="45" ht="12.75">
      <c r="A45" t="s">
        <v>161</v>
      </c>
    </row>
    <row r="46" ht="12.75">
      <c r="A46" t="s">
        <v>162</v>
      </c>
    </row>
    <row r="47" ht="12.75">
      <c r="A47" s="366" t="s">
        <v>163</v>
      </c>
    </row>
    <row r="48" ht="12.75">
      <c r="A48" t="s">
        <v>164</v>
      </c>
    </row>
    <row r="49" ht="12.75">
      <c r="A49" t="s">
        <v>165</v>
      </c>
    </row>
    <row r="50" ht="12.75">
      <c r="A50" t="s">
        <v>166</v>
      </c>
    </row>
    <row r="51" ht="12.75">
      <c r="A51" t="s">
        <v>167</v>
      </c>
    </row>
    <row r="52" spans="1:17" ht="12.75">
      <c r="A52" t="s">
        <v>168</v>
      </c>
      <c r="Q52" s="366" t="s">
        <v>169</v>
      </c>
    </row>
    <row r="53" spans="1:17" ht="12.75">
      <c r="A53" t="s">
        <v>170</v>
      </c>
      <c r="Q53" s="366" t="s">
        <v>171</v>
      </c>
    </row>
    <row r="54" ht="12.75">
      <c r="A54" t="s">
        <v>172</v>
      </c>
    </row>
    <row r="55" ht="12.75">
      <c r="A55" t="s">
        <v>173</v>
      </c>
    </row>
    <row r="56" ht="12.75">
      <c r="A56" t="s">
        <v>174</v>
      </c>
    </row>
    <row r="57" spans="1:14" ht="12.75">
      <c r="A57" t="s">
        <v>175</v>
      </c>
      <c r="N57" s="366" t="s">
        <v>176</v>
      </c>
    </row>
    <row r="58" spans="1:4" ht="12.75">
      <c r="A58" s="368" t="s">
        <v>177</v>
      </c>
      <c r="D58" t="s">
        <v>178</v>
      </c>
    </row>
    <row r="59" spans="1:11" ht="12.75">
      <c r="A59" s="366" t="s">
        <v>179</v>
      </c>
      <c r="K59" s="366"/>
    </row>
    <row r="60" spans="1:11" ht="12.75">
      <c r="A60" s="368" t="s">
        <v>180</v>
      </c>
      <c r="K60" s="366"/>
    </row>
    <row r="61" spans="1:11" ht="12.75">
      <c r="A61" s="368" t="s">
        <v>181</v>
      </c>
      <c r="K61" s="366"/>
    </row>
    <row r="62" spans="1:11" ht="12.75">
      <c r="A62" s="368" t="s">
        <v>182</v>
      </c>
      <c r="K62" s="366"/>
    </row>
    <row r="63" spans="1:11" ht="12.75">
      <c r="A63" s="366"/>
      <c r="K63" s="366"/>
    </row>
    <row r="64" spans="1:11" ht="13.5" thickBot="1">
      <c r="A64" s="366"/>
      <c r="K64" s="366"/>
    </row>
    <row r="65" spans="5:17" ht="12.75">
      <c r="E65" s="416" t="s">
        <v>183</v>
      </c>
      <c r="F65" s="417"/>
      <c r="G65" s="417"/>
      <c r="H65" s="417"/>
      <c r="I65" s="418"/>
      <c r="J65" s="361"/>
      <c r="K65" s="351" t="s">
        <v>184</v>
      </c>
      <c r="L65" s="351"/>
      <c r="M65" s="362"/>
      <c r="N65" s="416" t="s">
        <v>185</v>
      </c>
      <c r="O65" s="417"/>
      <c r="P65" s="417"/>
      <c r="Q65" s="418"/>
    </row>
    <row r="66" spans="5:17" ht="12.75">
      <c r="E66" s="254" t="s">
        <v>0</v>
      </c>
      <c r="F66" s="3" t="s">
        <v>22</v>
      </c>
      <c r="G66" s="3" t="s">
        <v>186</v>
      </c>
      <c r="H66" s="3" t="s">
        <v>187</v>
      </c>
      <c r="I66" s="369" t="s">
        <v>188</v>
      </c>
      <c r="J66" s="254" t="s">
        <v>0</v>
      </c>
      <c r="K66" s="3" t="s">
        <v>22</v>
      </c>
      <c r="L66" s="3" t="s">
        <v>23</v>
      </c>
      <c r="M66" s="369" t="s">
        <v>188</v>
      </c>
      <c r="N66" s="254" t="s">
        <v>0</v>
      </c>
      <c r="O66" s="3" t="s">
        <v>22</v>
      </c>
      <c r="P66" s="3" t="s">
        <v>23</v>
      </c>
      <c r="Q66" s="369" t="s">
        <v>188</v>
      </c>
    </row>
    <row r="67" spans="4:17" ht="13.5" thickBot="1">
      <c r="D67" s="370" t="s">
        <v>189</v>
      </c>
      <c r="E67" s="371">
        <v>2360</v>
      </c>
      <c r="F67" s="44"/>
      <c r="G67" s="44"/>
      <c r="H67" s="44">
        <v>12</v>
      </c>
      <c r="I67" s="372">
        <v>0.096</v>
      </c>
      <c r="J67" s="371"/>
      <c r="K67" s="44"/>
      <c r="L67" s="44"/>
      <c r="M67" s="373"/>
      <c r="N67" s="371"/>
      <c r="O67" s="44"/>
      <c r="P67" s="44"/>
      <c r="Q67" s="373"/>
    </row>
    <row r="68" spans="4:17" ht="13.5" thickBot="1">
      <c r="D68" s="370" t="s">
        <v>190</v>
      </c>
      <c r="E68" s="374">
        <v>2200</v>
      </c>
      <c r="F68" s="21">
        <v>115.8</v>
      </c>
      <c r="G68" s="21">
        <v>125</v>
      </c>
      <c r="H68" s="38">
        <v>10.6</v>
      </c>
      <c r="I68" s="189">
        <v>0.085</v>
      </c>
      <c r="J68" s="374">
        <v>2498</v>
      </c>
      <c r="K68" s="21">
        <v>101</v>
      </c>
      <c r="L68" s="21" t="s">
        <v>106</v>
      </c>
      <c r="M68" s="188" t="s">
        <v>106</v>
      </c>
      <c r="N68" s="374">
        <v>2200</v>
      </c>
      <c r="O68" s="21">
        <v>58</v>
      </c>
      <c r="P68" s="21">
        <v>3.4</v>
      </c>
      <c r="Q68" s="188">
        <v>0.058</v>
      </c>
    </row>
    <row r="69" spans="5:17" ht="13.5" thickBot="1">
      <c r="E69" s="374">
        <v>2000</v>
      </c>
      <c r="F69" s="21">
        <v>139.1</v>
      </c>
      <c r="G69" s="21"/>
      <c r="H69" s="21">
        <v>8.7</v>
      </c>
      <c r="I69" s="188">
        <v>0.07</v>
      </c>
      <c r="K69" s="21"/>
      <c r="L69" s="38"/>
      <c r="M69" s="188"/>
      <c r="N69" s="374"/>
      <c r="O69" s="21"/>
      <c r="P69" s="21"/>
      <c r="Q69" s="188"/>
    </row>
    <row r="70" spans="4:17" ht="13.5" thickBot="1">
      <c r="D70" s="370" t="s">
        <v>191</v>
      </c>
      <c r="E70" s="374">
        <v>1800</v>
      </c>
      <c r="F70" s="21">
        <v>143.5</v>
      </c>
      <c r="G70" s="21"/>
      <c r="H70" s="38">
        <v>7.2</v>
      </c>
      <c r="I70" s="189">
        <v>0.58</v>
      </c>
      <c r="J70" s="374">
        <v>2000</v>
      </c>
      <c r="K70" s="21">
        <v>101</v>
      </c>
      <c r="L70" s="38">
        <v>4.5</v>
      </c>
      <c r="M70" s="189">
        <v>0.045</v>
      </c>
      <c r="N70" s="374" t="s">
        <v>106</v>
      </c>
      <c r="O70" s="21" t="s">
        <v>106</v>
      </c>
      <c r="P70" s="21" t="s">
        <v>106</v>
      </c>
      <c r="Q70" s="188" t="s">
        <v>106</v>
      </c>
    </row>
    <row r="71" spans="5:17" ht="12.75">
      <c r="E71" s="374">
        <v>1400</v>
      </c>
      <c r="F71" s="21"/>
      <c r="G71" s="21"/>
      <c r="H71" s="21">
        <v>4.8</v>
      </c>
      <c r="I71" s="188">
        <v>0.038</v>
      </c>
      <c r="J71" s="374">
        <v>1500</v>
      </c>
      <c r="K71" s="21"/>
      <c r="L71" s="21">
        <v>2.8</v>
      </c>
      <c r="M71" s="188">
        <v>0.028</v>
      </c>
      <c r="N71" s="374"/>
      <c r="O71" s="21"/>
      <c r="P71" s="21"/>
      <c r="Q71" s="188"/>
    </row>
    <row r="72" spans="5:17" ht="12.75">
      <c r="E72" s="374">
        <v>1200</v>
      </c>
      <c r="F72" s="21"/>
      <c r="G72" s="21"/>
      <c r="H72" s="21">
        <v>3.8</v>
      </c>
      <c r="I72" s="188">
        <v>0.03</v>
      </c>
      <c r="J72" s="374">
        <v>1100</v>
      </c>
      <c r="K72" s="21"/>
      <c r="L72" s="21">
        <v>2.1</v>
      </c>
      <c r="M72" s="188">
        <v>0.021</v>
      </c>
      <c r="N72" s="374"/>
      <c r="O72" s="21"/>
      <c r="P72" s="21"/>
      <c r="Q72" s="188"/>
    </row>
    <row r="73" spans="4:18" ht="13.5" thickBot="1">
      <c r="D73" s="370" t="s">
        <v>192</v>
      </c>
      <c r="E73" s="375">
        <v>720</v>
      </c>
      <c r="F73" s="22"/>
      <c r="G73" s="22"/>
      <c r="H73" s="22">
        <v>2.1</v>
      </c>
      <c r="I73" s="236">
        <v>0.017</v>
      </c>
      <c r="J73" s="375">
        <v>700</v>
      </c>
      <c r="K73" s="22"/>
      <c r="L73" s="22">
        <v>1.2</v>
      </c>
      <c r="M73" s="236">
        <v>0.011</v>
      </c>
      <c r="N73" s="375">
        <v>650</v>
      </c>
      <c r="O73" s="22"/>
      <c r="P73" s="22">
        <v>0.4</v>
      </c>
      <c r="Q73" s="236">
        <v>0.007</v>
      </c>
      <c r="R73" t="s">
        <v>193</v>
      </c>
    </row>
    <row r="74" ht="12.75">
      <c r="A74" t="s">
        <v>194</v>
      </c>
    </row>
    <row r="75" ht="12.75">
      <c r="A75" t="s">
        <v>195</v>
      </c>
    </row>
    <row r="76" ht="12.75">
      <c r="A76" t="s">
        <v>196</v>
      </c>
    </row>
    <row r="78" ht="12.75">
      <c r="A78" t="s">
        <v>197</v>
      </c>
    </row>
    <row r="79" ht="12.75">
      <c r="A79" t="s">
        <v>198</v>
      </c>
    </row>
    <row r="80" ht="12.75">
      <c r="A80" t="s">
        <v>199</v>
      </c>
    </row>
    <row r="81" ht="12.75">
      <c r="A81" t="s">
        <v>200</v>
      </c>
    </row>
    <row r="83" ht="12.75">
      <c r="A83" t="s">
        <v>201</v>
      </c>
    </row>
    <row r="84" ht="12.75">
      <c r="A84" t="s">
        <v>202</v>
      </c>
    </row>
    <row r="85" ht="12.75">
      <c r="A85" t="s">
        <v>203</v>
      </c>
    </row>
    <row r="86" ht="12.75">
      <c r="A86" t="s">
        <v>204</v>
      </c>
    </row>
    <row r="87" ht="13.5" thickBot="1">
      <c r="A87" t="s">
        <v>205</v>
      </c>
    </row>
    <row r="88" spans="5:17" ht="12.75">
      <c r="E88" s="416" t="s">
        <v>183</v>
      </c>
      <c r="F88" s="417"/>
      <c r="G88" s="417"/>
      <c r="H88" s="417"/>
      <c r="I88" s="418"/>
      <c r="J88" s="361"/>
      <c r="K88" s="351" t="s">
        <v>184</v>
      </c>
      <c r="L88" s="351"/>
      <c r="M88" s="362"/>
      <c r="N88" s="416" t="s">
        <v>185</v>
      </c>
      <c r="O88" s="417"/>
      <c r="P88" s="417"/>
      <c r="Q88" s="418"/>
    </row>
    <row r="89" spans="5:17" ht="12.75">
      <c r="E89" s="254" t="s">
        <v>0</v>
      </c>
      <c r="F89" s="3" t="s">
        <v>22</v>
      </c>
      <c r="G89" s="3" t="s">
        <v>186</v>
      </c>
      <c r="H89" s="3" t="s">
        <v>187</v>
      </c>
      <c r="I89" s="369" t="s">
        <v>188</v>
      </c>
      <c r="J89" s="254" t="s">
        <v>0</v>
      </c>
      <c r="K89" s="3" t="s">
        <v>22</v>
      </c>
      <c r="L89" s="3" t="s">
        <v>23</v>
      </c>
      <c r="M89" s="369" t="s">
        <v>188</v>
      </c>
      <c r="N89" s="254" t="s">
        <v>0</v>
      </c>
      <c r="O89" s="3" t="s">
        <v>22</v>
      </c>
      <c r="P89" s="3" t="s">
        <v>23</v>
      </c>
      <c r="Q89" s="369" t="s">
        <v>188</v>
      </c>
    </row>
    <row r="90" spans="4:17" ht="13.5" thickBot="1">
      <c r="D90" s="370" t="s">
        <v>189</v>
      </c>
      <c r="E90" s="371">
        <v>2000</v>
      </c>
      <c r="F90" s="44"/>
      <c r="G90" s="44"/>
      <c r="H90" s="44">
        <v>8.7</v>
      </c>
      <c r="I90" s="372">
        <v>0.06</v>
      </c>
      <c r="J90" s="371"/>
      <c r="K90" s="44"/>
      <c r="L90" s="44"/>
      <c r="M90" s="373"/>
      <c r="N90" s="371"/>
      <c r="O90" s="44"/>
      <c r="P90" s="44"/>
      <c r="Q90" s="373"/>
    </row>
    <row r="91" spans="4:17" ht="13.5" thickBot="1">
      <c r="D91" s="370" t="s">
        <v>190</v>
      </c>
      <c r="E91" s="374">
        <v>1800</v>
      </c>
      <c r="F91" s="21">
        <v>143.5</v>
      </c>
      <c r="G91" s="21"/>
      <c r="H91" s="38">
        <v>7.2</v>
      </c>
      <c r="I91" s="189">
        <v>0.05</v>
      </c>
      <c r="J91" s="374">
        <v>2498</v>
      </c>
      <c r="K91" s="21">
        <v>101</v>
      </c>
      <c r="L91" s="21" t="s">
        <v>106</v>
      </c>
      <c r="M91" s="188" t="s">
        <v>106</v>
      </c>
      <c r="N91" s="374">
        <v>2200</v>
      </c>
      <c r="O91" s="21">
        <v>58</v>
      </c>
      <c r="P91" s="21">
        <v>3.4</v>
      </c>
      <c r="Q91" s="188">
        <v>0.058</v>
      </c>
    </row>
    <row r="92" spans="5:17" ht="13.5" thickBot="1">
      <c r="E92" s="374"/>
      <c r="F92" s="21"/>
      <c r="G92" s="21"/>
      <c r="H92" s="21"/>
      <c r="I92" s="188"/>
      <c r="K92" s="21"/>
      <c r="L92" s="38"/>
      <c r="M92" s="188"/>
      <c r="N92" s="374"/>
      <c r="O92" s="21"/>
      <c r="P92" s="21"/>
      <c r="Q92" s="188"/>
    </row>
    <row r="93" spans="4:17" ht="13.5" thickBot="1">
      <c r="D93" s="370" t="s">
        <v>191</v>
      </c>
      <c r="E93" s="374">
        <v>1800</v>
      </c>
      <c r="F93" s="21">
        <v>143.5</v>
      </c>
      <c r="G93" s="21"/>
      <c r="H93" s="38">
        <v>7.2</v>
      </c>
      <c r="I93" s="189">
        <v>0.05</v>
      </c>
      <c r="J93" s="374">
        <v>2000</v>
      </c>
      <c r="K93" s="21">
        <v>101</v>
      </c>
      <c r="L93" s="38">
        <v>4.5</v>
      </c>
      <c r="M93" s="189">
        <v>0.045</v>
      </c>
      <c r="N93" s="374" t="s">
        <v>106</v>
      </c>
      <c r="O93" s="21" t="s">
        <v>106</v>
      </c>
      <c r="P93" s="21" t="s">
        <v>106</v>
      </c>
      <c r="Q93" s="188" t="s">
        <v>106</v>
      </c>
    </row>
    <row r="94" spans="5:17" ht="12.75">
      <c r="E94" s="374">
        <v>1400</v>
      </c>
      <c r="F94" s="21"/>
      <c r="G94" s="21"/>
      <c r="H94" s="21">
        <v>4.8</v>
      </c>
      <c r="I94" s="188">
        <v>0.033</v>
      </c>
      <c r="J94" s="374">
        <v>1500</v>
      </c>
      <c r="K94" s="21"/>
      <c r="L94" s="21">
        <v>2.8</v>
      </c>
      <c r="M94" s="188">
        <v>0.028</v>
      </c>
      <c r="N94" s="374"/>
      <c r="O94" s="21"/>
      <c r="P94" s="21"/>
      <c r="Q94" s="188"/>
    </row>
    <row r="95" spans="5:17" ht="12.75">
      <c r="E95" s="374">
        <v>1200</v>
      </c>
      <c r="F95" s="21"/>
      <c r="G95" s="21"/>
      <c r="H95" s="21">
        <v>3.8</v>
      </c>
      <c r="I95" s="188">
        <v>0.026</v>
      </c>
      <c r="J95" s="374">
        <v>1100</v>
      </c>
      <c r="K95" s="21"/>
      <c r="L95" s="21">
        <v>2.1</v>
      </c>
      <c r="M95" s="188">
        <v>0.021</v>
      </c>
      <c r="N95" s="374"/>
      <c r="O95" s="21"/>
      <c r="P95" s="21"/>
      <c r="Q95" s="188"/>
    </row>
    <row r="96" spans="4:18" ht="13.5" thickBot="1">
      <c r="D96" s="370" t="s">
        <v>192</v>
      </c>
      <c r="E96" s="375">
        <v>720</v>
      </c>
      <c r="F96" s="22"/>
      <c r="G96" s="22"/>
      <c r="H96" s="22">
        <v>2.1</v>
      </c>
      <c r="I96" s="236">
        <v>0.015</v>
      </c>
      <c r="J96" s="375">
        <v>700</v>
      </c>
      <c r="K96" s="22"/>
      <c r="L96" s="22">
        <v>1.2</v>
      </c>
      <c r="M96" s="236">
        <v>0.011</v>
      </c>
      <c r="N96" s="375">
        <v>650</v>
      </c>
      <c r="O96" s="22"/>
      <c r="P96" s="22">
        <v>0.4</v>
      </c>
      <c r="Q96" s="236">
        <v>0.007</v>
      </c>
      <c r="R96" t="s">
        <v>206</v>
      </c>
    </row>
    <row r="97" ht="12.75">
      <c r="A97" t="s">
        <v>207</v>
      </c>
    </row>
    <row r="100" ht="12.75">
      <c r="A100" t="s">
        <v>208</v>
      </c>
    </row>
    <row r="101" ht="12.75">
      <c r="A101" t="s">
        <v>209</v>
      </c>
    </row>
    <row r="102" ht="12.75">
      <c r="A102" t="s">
        <v>210</v>
      </c>
    </row>
    <row r="103" ht="12.75">
      <c r="A103" t="s">
        <v>211</v>
      </c>
    </row>
    <row r="104" ht="12.75">
      <c r="A104" t="s">
        <v>212</v>
      </c>
    </row>
    <row r="105" ht="12.75">
      <c r="A105" t="s">
        <v>213</v>
      </c>
    </row>
    <row r="107" ht="12.75">
      <c r="A107" t="s">
        <v>214</v>
      </c>
    </row>
    <row r="109" ht="12.75">
      <c r="A109" t="s">
        <v>215</v>
      </c>
    </row>
    <row r="110" ht="12.75">
      <c r="A110" t="s">
        <v>216</v>
      </c>
    </row>
    <row r="111" ht="12.75">
      <c r="A111" t="s">
        <v>217</v>
      </c>
    </row>
    <row r="112" ht="12.75">
      <c r="A112" t="s">
        <v>218</v>
      </c>
    </row>
    <row r="113" ht="12.75">
      <c r="A113" t="s">
        <v>219</v>
      </c>
    </row>
    <row r="115" ht="12.75">
      <c r="A115" t="s">
        <v>220</v>
      </c>
    </row>
    <row r="117" ht="13.5" thickBot="1"/>
    <row r="118" spans="1:4" ht="13.5" thickBot="1">
      <c r="A118" s="376" t="s">
        <v>0</v>
      </c>
      <c r="B118" s="31" t="s">
        <v>23</v>
      </c>
      <c r="C118" s="412" t="s">
        <v>221</v>
      </c>
      <c r="D118" s="413"/>
    </row>
    <row r="119" spans="1:4" ht="12.75">
      <c r="A119" s="238">
        <v>2360</v>
      </c>
      <c r="B119" s="15">
        <v>12</v>
      </c>
      <c r="C119" s="414">
        <f>B119/A119/0.000003/60</f>
        <v>28.248587570621467</v>
      </c>
      <c r="D119" s="415"/>
    </row>
    <row r="120" spans="1:6" ht="12.75">
      <c r="A120" s="254">
        <v>2350</v>
      </c>
      <c r="B120" s="3">
        <v>15.1</v>
      </c>
      <c r="C120" s="410">
        <f aca="true" t="shared" si="6" ref="C120:C138">B120/A120/0.000003/60</f>
        <v>35.69739952718676</v>
      </c>
      <c r="D120" s="411"/>
      <c r="F120" t="s">
        <v>222</v>
      </c>
    </row>
    <row r="121" spans="1:6" ht="12.75">
      <c r="A121" s="254">
        <v>2300</v>
      </c>
      <c r="B121" s="3">
        <v>19.4</v>
      </c>
      <c r="C121" s="410">
        <f t="shared" si="6"/>
        <v>46.85990338164251</v>
      </c>
      <c r="D121" s="411"/>
      <c r="F121" t="s">
        <v>223</v>
      </c>
    </row>
    <row r="122" spans="1:4" ht="12.75">
      <c r="A122" s="254">
        <v>2250</v>
      </c>
      <c r="B122" s="3">
        <v>27.7</v>
      </c>
      <c r="C122" s="410">
        <f t="shared" si="6"/>
        <v>68.39506172839506</v>
      </c>
      <c r="D122" s="411"/>
    </row>
    <row r="123" spans="1:4" ht="12.75">
      <c r="A123" s="254">
        <v>2200</v>
      </c>
      <c r="B123" s="3">
        <v>30</v>
      </c>
      <c r="C123" s="410">
        <f t="shared" si="6"/>
        <v>75.75757575757575</v>
      </c>
      <c r="D123" s="411"/>
    </row>
    <row r="124" spans="1:4" ht="12.75">
      <c r="A124" s="254">
        <v>2150</v>
      </c>
      <c r="B124" s="3">
        <v>30.5</v>
      </c>
      <c r="C124" s="410">
        <f t="shared" si="6"/>
        <v>78.81136950904393</v>
      </c>
      <c r="D124" s="411"/>
    </row>
    <row r="125" spans="1:4" ht="12.75">
      <c r="A125" s="254">
        <v>2100</v>
      </c>
      <c r="B125" s="3">
        <v>30.6</v>
      </c>
      <c r="C125" s="410">
        <f t="shared" si="6"/>
        <v>80.95238095238095</v>
      </c>
      <c r="D125" s="411"/>
    </row>
    <row r="126" spans="1:4" ht="12.75">
      <c r="A126" s="254">
        <v>2000</v>
      </c>
      <c r="B126" s="3">
        <v>30.6</v>
      </c>
      <c r="C126" s="410">
        <f t="shared" si="6"/>
        <v>85</v>
      </c>
      <c r="D126" s="411"/>
    </row>
    <row r="127" spans="1:4" ht="12.75">
      <c r="A127" s="254">
        <v>1900</v>
      </c>
      <c r="B127" s="3">
        <v>30.5</v>
      </c>
      <c r="C127" s="410">
        <f t="shared" si="6"/>
        <v>89.1812865497076</v>
      </c>
      <c r="D127" s="411"/>
    </row>
    <row r="128" spans="1:4" ht="12.75">
      <c r="A128" s="254">
        <v>1800</v>
      </c>
      <c r="B128" s="3">
        <v>29.8</v>
      </c>
      <c r="C128" s="410">
        <f t="shared" si="6"/>
        <v>91.9753086419753</v>
      </c>
      <c r="D128" s="411"/>
    </row>
    <row r="129" spans="1:4" ht="12.75">
      <c r="A129" s="254">
        <v>1700</v>
      </c>
      <c r="B129" s="3">
        <v>29</v>
      </c>
      <c r="C129" s="410">
        <f t="shared" si="6"/>
        <v>94.77124183006535</v>
      </c>
      <c r="D129" s="411"/>
    </row>
    <row r="130" spans="1:4" ht="12.75">
      <c r="A130" s="254">
        <v>1650</v>
      </c>
      <c r="B130" s="3">
        <v>28.4</v>
      </c>
      <c r="C130" s="410">
        <f t="shared" si="6"/>
        <v>95.62289562289561</v>
      </c>
      <c r="D130" s="411"/>
    </row>
    <row r="131" spans="1:4" ht="12.75">
      <c r="A131" s="254">
        <v>1600</v>
      </c>
      <c r="B131" s="3">
        <v>28</v>
      </c>
      <c r="C131" s="410">
        <f t="shared" si="6"/>
        <v>97.22222222222223</v>
      </c>
      <c r="D131" s="411"/>
    </row>
    <row r="132" spans="1:4" ht="12.75">
      <c r="A132" s="254">
        <v>1550</v>
      </c>
      <c r="B132" s="3">
        <v>27.3</v>
      </c>
      <c r="C132" s="410">
        <f t="shared" si="6"/>
        <v>97.84946236559139</v>
      </c>
      <c r="D132" s="411"/>
    </row>
    <row r="133" spans="1:4" ht="12.75">
      <c r="A133" s="254">
        <v>1500</v>
      </c>
      <c r="B133" s="3">
        <v>26.9</v>
      </c>
      <c r="C133" s="410">
        <f t="shared" si="6"/>
        <v>99.62962962962962</v>
      </c>
      <c r="D133" s="411"/>
    </row>
    <row r="134" spans="1:4" ht="12.75">
      <c r="A134" s="254">
        <v>1450</v>
      </c>
      <c r="B134" s="3">
        <v>26.4</v>
      </c>
      <c r="C134" s="410">
        <f t="shared" si="6"/>
        <v>101.14942528735631</v>
      </c>
      <c r="D134" s="411"/>
    </row>
    <row r="135" spans="1:4" ht="12.75">
      <c r="A135" s="254">
        <v>1400</v>
      </c>
      <c r="B135" s="3">
        <v>25.8</v>
      </c>
      <c r="C135" s="410">
        <f t="shared" si="6"/>
        <v>102.38095238095238</v>
      </c>
      <c r="D135" s="411"/>
    </row>
    <row r="136" spans="1:4" ht="12.75">
      <c r="A136" s="254">
        <v>1350</v>
      </c>
      <c r="B136" s="3">
        <v>25.2</v>
      </c>
      <c r="C136" s="410">
        <f t="shared" si="6"/>
        <v>103.7037037037037</v>
      </c>
      <c r="D136" s="411"/>
    </row>
    <row r="137" spans="1:4" ht="12.75">
      <c r="A137" s="254">
        <v>1300</v>
      </c>
      <c r="B137" s="3">
        <v>24.4</v>
      </c>
      <c r="C137" s="410">
        <f t="shared" si="6"/>
        <v>104.27350427350426</v>
      </c>
      <c r="D137" s="411"/>
    </row>
    <row r="138" spans="1:5" ht="13.5" thickBot="1">
      <c r="A138" s="298">
        <v>1250</v>
      </c>
      <c r="B138" s="10">
        <v>23.6</v>
      </c>
      <c r="C138" s="408">
        <f t="shared" si="6"/>
        <v>104.8888888888889</v>
      </c>
      <c r="D138" s="409"/>
      <c r="E138" t="s">
        <v>224</v>
      </c>
    </row>
    <row r="139" spans="3:4" ht="12.75">
      <c r="C139" s="2"/>
      <c r="D139" s="2"/>
    </row>
    <row r="140" spans="1:4" ht="12.75">
      <c r="A140" t="s">
        <v>225</v>
      </c>
      <c r="C140" s="2"/>
      <c r="D140" s="2"/>
    </row>
    <row r="141" spans="1:4" ht="12.75">
      <c r="A141" t="s">
        <v>226</v>
      </c>
      <c r="C141" s="2"/>
      <c r="D141" s="2"/>
    </row>
    <row r="142" spans="1:4" ht="12.75">
      <c r="A142" t="s">
        <v>227</v>
      </c>
      <c r="C142" s="2"/>
      <c r="D142" s="2"/>
    </row>
    <row r="143" spans="1:4" ht="12.75">
      <c r="A143" t="s">
        <v>228</v>
      </c>
      <c r="C143" s="2"/>
      <c r="D143" s="2"/>
    </row>
    <row r="144" spans="1:4" ht="12.75">
      <c r="A144" t="s">
        <v>229</v>
      </c>
      <c r="C144" s="2"/>
      <c r="D144" s="2"/>
    </row>
    <row r="145" spans="3:4" ht="12.75">
      <c r="C145" s="2"/>
      <c r="D145" s="2"/>
    </row>
    <row r="146" spans="3:4" ht="12.75">
      <c r="C146" s="2"/>
      <c r="D146" s="2"/>
    </row>
    <row r="147" spans="3:4" ht="12.75">
      <c r="C147" s="2"/>
      <c r="D147" s="2"/>
    </row>
    <row r="148" spans="3:4" ht="12.75">
      <c r="C148" s="2"/>
      <c r="D148" s="2"/>
    </row>
    <row r="149" spans="1:10" ht="12.75">
      <c r="A149" t="s">
        <v>230</v>
      </c>
      <c r="C149" s="2"/>
      <c r="D149" s="2"/>
      <c r="J149" t="s">
        <v>231</v>
      </c>
    </row>
    <row r="150" spans="3:4" ht="12.75">
      <c r="C150" s="2"/>
      <c r="D150" s="2"/>
    </row>
    <row r="151" spans="3:4" ht="12.75">
      <c r="C151" s="2"/>
      <c r="D151" s="2"/>
    </row>
    <row r="152" spans="3:4" ht="12.75">
      <c r="C152" s="2"/>
      <c r="D152" s="2"/>
    </row>
    <row r="153" spans="3:4" ht="12.75">
      <c r="C153" s="2"/>
      <c r="D153" s="2"/>
    </row>
    <row r="154" spans="5:16" ht="12.75">
      <c r="E154" s="17"/>
      <c r="F154" s="17"/>
      <c r="G154" s="17"/>
      <c r="H154" s="17"/>
      <c r="I154" s="17"/>
      <c r="J154" s="17"/>
      <c r="K154" s="17"/>
      <c r="L154" s="377" t="s">
        <v>232</v>
      </c>
      <c r="M154" s="17"/>
      <c r="N154" s="17"/>
      <c r="O154" s="17" t="s">
        <v>233</v>
      </c>
      <c r="P154" s="17"/>
    </row>
    <row r="155" spans="5:16" ht="12.75">
      <c r="E155" s="17"/>
      <c r="F155" s="50"/>
      <c r="G155" s="17"/>
      <c r="H155" s="16"/>
      <c r="I155" s="16"/>
      <c r="J155" s="16"/>
      <c r="K155" s="16"/>
      <c r="L155" s="16"/>
      <c r="M155" s="16"/>
      <c r="N155" s="17"/>
      <c r="O155" s="17"/>
      <c r="P155" s="17"/>
    </row>
    <row r="156" spans="5:16" ht="12.75">
      <c r="E156" s="17"/>
      <c r="F156" s="50"/>
      <c r="G156" s="17"/>
      <c r="H156" s="16"/>
      <c r="I156" s="16"/>
      <c r="J156" s="16"/>
      <c r="K156" s="16"/>
      <c r="L156" s="16"/>
      <c r="M156" s="16" t="s">
        <v>234</v>
      </c>
      <c r="N156" s="17"/>
      <c r="O156" s="17"/>
      <c r="P156" s="17"/>
    </row>
    <row r="157" spans="5:16" ht="12.75">
      <c r="E157" s="17"/>
      <c r="F157" s="50"/>
      <c r="G157" s="17"/>
      <c r="H157" s="16"/>
      <c r="I157" s="16"/>
      <c r="J157" s="16"/>
      <c r="K157" s="16"/>
      <c r="L157" s="16"/>
      <c r="M157" s="16"/>
      <c r="N157" s="17"/>
      <c r="O157" s="17"/>
      <c r="P157" s="17"/>
    </row>
    <row r="158" spans="5:16" ht="12.75">
      <c r="E158" s="17"/>
      <c r="F158" s="50"/>
      <c r="G158" s="17"/>
      <c r="H158" s="16"/>
      <c r="I158" s="16"/>
      <c r="J158" s="16"/>
      <c r="K158" s="16"/>
      <c r="L158" s="16"/>
      <c r="M158" s="16"/>
      <c r="N158" s="17"/>
      <c r="O158" s="17"/>
      <c r="P158" s="17"/>
    </row>
    <row r="159" spans="5:16" ht="12.75">
      <c r="E159" s="17"/>
      <c r="F159" s="50"/>
      <c r="G159" s="17"/>
      <c r="H159" s="16"/>
      <c r="I159" s="16"/>
      <c r="K159" s="28" t="s">
        <v>235</v>
      </c>
      <c r="L159" s="16"/>
      <c r="M159" s="16"/>
      <c r="N159" s="17"/>
      <c r="O159" s="17"/>
      <c r="P159" s="17"/>
    </row>
    <row r="160" spans="5:16" ht="12.75">
      <c r="E160" s="17"/>
      <c r="F160" s="50"/>
      <c r="G160" s="17"/>
      <c r="H160" s="16"/>
      <c r="I160" s="16"/>
      <c r="K160" s="16"/>
      <c r="L160" s="28" t="s">
        <v>236</v>
      </c>
      <c r="M160" s="16"/>
      <c r="N160" s="17"/>
      <c r="O160" s="17"/>
      <c r="P160" s="17"/>
    </row>
    <row r="161" spans="5:16" ht="12.75">
      <c r="E161" s="17"/>
      <c r="F161" s="50"/>
      <c r="G161" s="282"/>
      <c r="H161" s="282"/>
      <c r="I161" s="282"/>
      <c r="J161" s="282"/>
      <c r="K161" s="282"/>
      <c r="L161" s="378" t="s">
        <v>237</v>
      </c>
      <c r="M161" s="282"/>
      <c r="N161" s="282"/>
      <c r="O161" s="282"/>
      <c r="P161" s="282"/>
    </row>
    <row r="162" spans="5:16" ht="12.75">
      <c r="E162" s="17"/>
      <c r="F162" s="50"/>
      <c r="G162" s="379"/>
      <c r="H162" s="53"/>
      <c r="I162" s="54"/>
      <c r="J162" s="379"/>
      <c r="K162" s="53"/>
      <c r="L162" s="380"/>
      <c r="M162" s="379"/>
      <c r="N162" s="50"/>
      <c r="O162" s="54"/>
      <c r="P162" s="379"/>
    </row>
    <row r="163" spans="5:16" ht="12.75">
      <c r="E163" s="17"/>
      <c r="F163" s="50"/>
      <c r="G163" s="381"/>
      <c r="H163" s="53"/>
      <c r="I163" s="54"/>
      <c r="J163" s="16"/>
      <c r="K163" s="53"/>
      <c r="L163" s="54"/>
      <c r="M163" s="16"/>
      <c r="N163" s="50"/>
      <c r="O163" s="54"/>
      <c r="P163" s="16"/>
    </row>
    <row r="164" spans="5:16" ht="12.75">
      <c r="E164" s="17"/>
      <c r="F164" s="50"/>
      <c r="G164" s="282"/>
      <c r="H164" s="282"/>
      <c r="I164" s="282"/>
      <c r="J164" s="282"/>
      <c r="K164" s="28" t="s">
        <v>238</v>
      </c>
      <c r="L164" s="282"/>
      <c r="M164" s="282"/>
      <c r="N164" s="282"/>
      <c r="O164" s="282"/>
      <c r="P164" s="282"/>
    </row>
    <row r="165" spans="5:16" ht="12.75">
      <c r="E165" s="17"/>
      <c r="F165" s="50"/>
      <c r="G165" s="282"/>
      <c r="H165" s="282"/>
      <c r="I165" s="282"/>
      <c r="J165" s="282"/>
      <c r="K165" s="282"/>
      <c r="L165" s="282"/>
      <c r="M165" s="282"/>
      <c r="N165" s="282"/>
      <c r="O165" s="282"/>
      <c r="P165" s="282"/>
    </row>
    <row r="166" spans="5:16" ht="12.75">
      <c r="E166" s="17"/>
      <c r="F166" s="50"/>
      <c r="G166" s="282"/>
      <c r="H166" s="282"/>
      <c r="I166" s="282"/>
      <c r="J166" s="282"/>
      <c r="K166" s="282"/>
      <c r="L166" s="378" t="s">
        <v>239</v>
      </c>
      <c r="M166" s="282"/>
      <c r="N166" s="282"/>
      <c r="O166" s="282"/>
      <c r="P166" s="282"/>
    </row>
    <row r="167" spans="5:16" ht="12.75">
      <c r="E167" s="17"/>
      <c r="F167" s="50"/>
      <c r="G167" s="16"/>
      <c r="H167" s="53"/>
      <c r="I167" s="382"/>
      <c r="J167" s="16"/>
      <c r="K167" s="53"/>
      <c r="L167" t="s">
        <v>240</v>
      </c>
      <c r="M167" s="16"/>
      <c r="N167" s="50"/>
      <c r="O167" s="382"/>
      <c r="P167" s="16"/>
    </row>
    <row r="168" spans="5:16" ht="12.75">
      <c r="E168" s="17"/>
      <c r="F168" s="50"/>
      <c r="G168" s="282"/>
      <c r="H168" s="282"/>
      <c r="I168" s="282"/>
      <c r="J168" s="282"/>
      <c r="K168" s="282"/>
      <c r="L168" t="s">
        <v>241</v>
      </c>
      <c r="M168" s="282"/>
      <c r="N168" s="282"/>
      <c r="O168" s="282"/>
      <c r="P168" s="282"/>
    </row>
    <row r="169" spans="3:16" ht="12.75">
      <c r="C169" s="383"/>
      <c r="D169" s="383"/>
      <c r="E169" s="384"/>
      <c r="F169" s="56"/>
      <c r="G169" s="385"/>
      <c r="H169" s="386"/>
      <c r="I169" s="387"/>
      <c r="J169" s="385"/>
      <c r="K169" s="386"/>
      <c r="M169" s="385"/>
      <c r="N169" s="56"/>
      <c r="O169" s="387"/>
      <c r="P169" s="385"/>
    </row>
    <row r="170" spans="5:16" ht="12.75">
      <c r="E170" s="17"/>
      <c r="F170" s="50"/>
      <c r="G170" s="388"/>
      <c r="H170" s="53"/>
      <c r="I170" s="54"/>
      <c r="J170" s="16"/>
      <c r="K170" s="53"/>
      <c r="L170" t="s">
        <v>242</v>
      </c>
      <c r="M170" s="16"/>
      <c r="N170" s="50"/>
      <c r="O170" s="54"/>
      <c r="P170" s="16"/>
    </row>
    <row r="171" spans="5:16" ht="12.75">
      <c r="E171" s="17"/>
      <c r="F171" s="50"/>
      <c r="G171" s="389"/>
      <c r="H171" s="53"/>
      <c r="I171" s="54"/>
      <c r="J171" s="16"/>
      <c r="K171" s="53"/>
      <c r="L171" s="380" t="s">
        <v>243</v>
      </c>
      <c r="M171" s="16"/>
      <c r="N171" s="50"/>
      <c r="O171" s="54"/>
      <c r="P171" s="16"/>
    </row>
    <row r="172" spans="5:16" ht="12.75">
      <c r="E172" s="17"/>
      <c r="F172" s="50"/>
      <c r="G172" s="282"/>
      <c r="H172" s="282"/>
      <c r="I172" s="282"/>
      <c r="J172" s="282"/>
      <c r="K172" s="282"/>
      <c r="L172" s="378" t="s">
        <v>244</v>
      </c>
      <c r="M172" s="282"/>
      <c r="N172" s="282"/>
      <c r="O172" s="282"/>
      <c r="P172" s="282"/>
    </row>
    <row r="173" spans="5:16" ht="12.75">
      <c r="E173" s="17"/>
      <c r="F173" s="50"/>
      <c r="G173" s="282"/>
      <c r="H173" s="282"/>
      <c r="I173" s="282"/>
      <c r="J173" s="282"/>
      <c r="K173" s="282"/>
      <c r="L173" s="378" t="s">
        <v>245</v>
      </c>
      <c r="M173" s="282"/>
      <c r="N173" s="282"/>
      <c r="O173" s="282"/>
      <c r="P173" s="282"/>
    </row>
    <row r="174" spans="5:16" ht="12.75">
      <c r="E174" s="17"/>
      <c r="F174" s="50"/>
      <c r="G174" s="66"/>
      <c r="H174" s="53"/>
      <c r="I174" s="54"/>
      <c r="J174" s="379"/>
      <c r="K174" s="53"/>
      <c r="L174" s="380" t="s">
        <v>246</v>
      </c>
      <c r="M174" s="379"/>
      <c r="N174" s="282"/>
      <c r="O174" s="54"/>
      <c r="P174" s="379"/>
    </row>
    <row r="175" spans="5:16" ht="12.75">
      <c r="E175" s="17"/>
      <c r="F175" s="50"/>
      <c r="G175" s="66"/>
      <c r="H175" s="53"/>
      <c r="I175" s="54"/>
      <c r="J175" s="379"/>
      <c r="K175" s="53"/>
      <c r="L175" s="380"/>
      <c r="M175" s="379"/>
      <c r="N175" s="282"/>
      <c r="O175" s="54"/>
      <c r="P175" s="379"/>
    </row>
    <row r="176" spans="5:16" ht="12.75">
      <c r="E176" s="17"/>
      <c r="F176" s="50"/>
      <c r="G176" s="381"/>
      <c r="I176" s="16"/>
      <c r="J176" s="16"/>
      <c r="K176" s="390" t="s">
        <v>247</v>
      </c>
      <c r="L176" s="28"/>
      <c r="M176" s="16"/>
      <c r="N176" s="282"/>
      <c r="O176" s="16"/>
      <c r="P176" s="16"/>
    </row>
    <row r="177" spans="5:16" ht="12.75">
      <c r="E177" s="17"/>
      <c r="F177" s="50"/>
      <c r="G177" s="381"/>
      <c r="I177" s="16"/>
      <c r="J177" s="16"/>
      <c r="K177" s="390" t="s">
        <v>248</v>
      </c>
      <c r="L177" s="28"/>
      <c r="M177" s="16"/>
      <c r="N177" s="282"/>
      <c r="O177" s="16"/>
      <c r="P177" s="16"/>
    </row>
    <row r="178" spans="5:16" ht="12.75">
      <c r="E178" s="17"/>
      <c r="F178" s="50"/>
      <c r="G178" s="381"/>
      <c r="H178" s="391"/>
      <c r="I178" s="16"/>
      <c r="J178" s="16"/>
      <c r="K178" s="391"/>
      <c r="L178" s="16"/>
      <c r="M178" s="16"/>
      <c r="N178" s="282"/>
      <c r="O178" s="16"/>
      <c r="P178" s="16"/>
    </row>
    <row r="179" spans="5:16" ht="12.75">
      <c r="E179" s="17"/>
      <c r="F179" s="50"/>
      <c r="G179" s="381"/>
      <c r="H179" s="392" t="s">
        <v>249</v>
      </c>
      <c r="I179" s="16"/>
      <c r="J179" s="16"/>
      <c r="K179" s="391"/>
      <c r="L179" s="16"/>
      <c r="M179" s="16"/>
      <c r="N179" s="282"/>
      <c r="O179" s="16"/>
      <c r="P179" s="16"/>
    </row>
    <row r="180" spans="5:16" ht="12.75">
      <c r="E180" s="17"/>
      <c r="F180" s="50"/>
      <c r="G180" s="17"/>
      <c r="H180" s="28"/>
      <c r="I180" s="28"/>
      <c r="J180" s="28"/>
      <c r="K180" s="16"/>
      <c r="L180" s="16"/>
      <c r="M180" s="16"/>
      <c r="N180" s="282"/>
      <c r="O180" s="17"/>
      <c r="P180" s="17"/>
    </row>
    <row r="181" spans="5:16" ht="12.75">
      <c r="E181" s="17"/>
      <c r="F181" s="50"/>
      <c r="G181" s="17"/>
      <c r="H181" s="28"/>
      <c r="J181" s="28"/>
      <c r="K181" s="16"/>
      <c r="L181" s="16"/>
      <c r="M181" s="16"/>
      <c r="N181" s="282"/>
      <c r="O181" s="17"/>
      <c r="P181" s="17"/>
    </row>
    <row r="182" ht="12.75">
      <c r="A182" t="s">
        <v>250</v>
      </c>
    </row>
    <row r="183" ht="12.75">
      <c r="A183" t="s">
        <v>251</v>
      </c>
    </row>
    <row r="184" ht="12.75">
      <c r="A184" t="s">
        <v>252</v>
      </c>
    </row>
    <row r="185" ht="12.75">
      <c r="A185" t="s">
        <v>253</v>
      </c>
    </row>
    <row r="186" ht="12.75">
      <c r="A186" t="s">
        <v>254</v>
      </c>
    </row>
    <row r="187" spans="1:14" ht="12.75">
      <c r="A187" t="s">
        <v>255</v>
      </c>
      <c r="C187" s="17"/>
      <c r="D187" s="50"/>
      <c r="E187" s="17"/>
      <c r="F187" s="28"/>
      <c r="G187" s="28"/>
      <c r="H187" s="28"/>
      <c r="I187" s="16"/>
      <c r="J187" s="16"/>
      <c r="K187" s="16"/>
      <c r="L187" s="17"/>
      <c r="M187" s="17"/>
      <c r="N187" s="17"/>
    </row>
    <row r="188" spans="1:14" ht="12.75">
      <c r="A188" t="s">
        <v>256</v>
      </c>
      <c r="C188" s="17"/>
      <c r="D188" s="50"/>
      <c r="E188" s="17"/>
      <c r="F188" s="28"/>
      <c r="G188" s="28"/>
      <c r="H188" s="28"/>
      <c r="I188" s="16"/>
      <c r="J188" s="16"/>
      <c r="K188" s="16"/>
      <c r="L188" s="17"/>
      <c r="M188" s="17"/>
      <c r="N188" s="17"/>
    </row>
    <row r="189" spans="1:14" ht="12.75">
      <c r="A189" t="s">
        <v>257</v>
      </c>
      <c r="C189" s="17"/>
      <c r="D189" s="50"/>
      <c r="E189" s="17"/>
      <c r="F189" s="28"/>
      <c r="G189" s="28"/>
      <c r="H189" s="28"/>
      <c r="I189" s="16"/>
      <c r="J189" s="16"/>
      <c r="K189" s="16"/>
      <c r="L189" s="17"/>
      <c r="M189" s="17"/>
      <c r="N189" s="17"/>
    </row>
    <row r="190" spans="1:4" ht="12.75">
      <c r="A190" t="s">
        <v>258</v>
      </c>
      <c r="C190" s="2"/>
      <c r="D190" s="2"/>
    </row>
    <row r="191" spans="1:4" ht="12.75">
      <c r="A191" t="s">
        <v>259</v>
      </c>
      <c r="C191" s="2"/>
      <c r="D191" s="2"/>
    </row>
    <row r="192" spans="1:4" ht="12.75">
      <c r="A192" t="s">
        <v>260</v>
      </c>
      <c r="C192" s="2"/>
      <c r="D192" s="2"/>
    </row>
    <row r="193" spans="1:4" ht="12.75">
      <c r="A193" t="s">
        <v>261</v>
      </c>
      <c r="C193" s="2"/>
      <c r="D193" s="2"/>
    </row>
    <row r="194" spans="3:4" ht="12.75">
      <c r="C194" s="2"/>
      <c r="D194" s="2"/>
    </row>
    <row r="195" spans="1:4" ht="12.75">
      <c r="A195" t="s">
        <v>262</v>
      </c>
      <c r="C195" s="2"/>
      <c r="D195" s="2"/>
    </row>
    <row r="196" spans="1:4" ht="12.75">
      <c r="A196" t="s">
        <v>263</v>
      </c>
      <c r="C196" s="2"/>
      <c r="D196" s="2"/>
    </row>
    <row r="197" spans="1:4" ht="12.75">
      <c r="A197" t="s">
        <v>264</v>
      </c>
      <c r="C197" s="2"/>
      <c r="D197" s="2"/>
    </row>
    <row r="198" spans="1:4" ht="12.75">
      <c r="A198" t="s">
        <v>265</v>
      </c>
      <c r="C198" s="2"/>
      <c r="D198" s="2"/>
    </row>
    <row r="200" ht="12.75">
      <c r="A200" s="366" t="s">
        <v>266</v>
      </c>
    </row>
    <row r="201" ht="12.75">
      <c r="A201" t="s">
        <v>267</v>
      </c>
    </row>
    <row r="202" ht="12.75">
      <c r="A202" t="s">
        <v>268</v>
      </c>
    </row>
    <row r="203" ht="12.75">
      <c r="A203" t="s">
        <v>269</v>
      </c>
    </row>
    <row r="204" ht="12.75">
      <c r="A204" t="s">
        <v>270</v>
      </c>
    </row>
    <row r="205" ht="12.75">
      <c r="A205" t="s">
        <v>271</v>
      </c>
    </row>
    <row r="206" ht="12.75">
      <c r="A206" t="s">
        <v>272</v>
      </c>
    </row>
    <row r="208" ht="12.75">
      <c r="A208" t="s">
        <v>273</v>
      </c>
    </row>
    <row r="209" ht="12.75">
      <c r="A209" t="s">
        <v>274</v>
      </c>
    </row>
    <row r="211" ht="12.75">
      <c r="A211" t="s">
        <v>275</v>
      </c>
    </row>
    <row r="212" ht="12.75">
      <c r="A212" t="s">
        <v>276</v>
      </c>
    </row>
    <row r="215" ht="12.75">
      <c r="A215" s="366" t="s">
        <v>277</v>
      </c>
    </row>
    <row r="216" ht="12.75">
      <c r="A216" t="s">
        <v>278</v>
      </c>
    </row>
    <row r="217" ht="12.75">
      <c r="A217" t="s">
        <v>279</v>
      </c>
    </row>
    <row r="218" ht="12.75">
      <c r="A218" s="366" t="s">
        <v>280</v>
      </c>
    </row>
    <row r="219" ht="12.75">
      <c r="A219" s="366" t="s">
        <v>281</v>
      </c>
    </row>
    <row r="220" ht="12.75">
      <c r="A220" t="s">
        <v>282</v>
      </c>
    </row>
    <row r="221" ht="12.75">
      <c r="A221" t="s">
        <v>283</v>
      </c>
    </row>
    <row r="222" ht="12.75">
      <c r="A222" t="s">
        <v>284</v>
      </c>
    </row>
    <row r="223" ht="12.75">
      <c r="A223" t="s">
        <v>285</v>
      </c>
    </row>
    <row r="224" ht="12.75">
      <c r="A224" s="393" t="s">
        <v>286</v>
      </c>
    </row>
    <row r="225" ht="12.75">
      <c r="A225" s="393" t="s">
        <v>287</v>
      </c>
    </row>
    <row r="226" ht="12.75">
      <c r="A226" s="393"/>
    </row>
    <row r="227" ht="12.75">
      <c r="A227" t="s">
        <v>288</v>
      </c>
    </row>
    <row r="228" ht="12.75">
      <c r="A228" t="s">
        <v>289</v>
      </c>
    </row>
    <row r="229" ht="12.75">
      <c r="A229" t="s">
        <v>290</v>
      </c>
    </row>
    <row r="230" ht="12.75">
      <c r="A230" t="s">
        <v>291</v>
      </c>
    </row>
    <row r="231" ht="12.75">
      <c r="A231" t="s">
        <v>292</v>
      </c>
    </row>
    <row r="232" ht="12.75">
      <c r="A232" t="s">
        <v>293</v>
      </c>
    </row>
    <row r="233" s="394" customFormat="1" ht="15.75">
      <c r="A233" s="394" t="s">
        <v>294</v>
      </c>
    </row>
    <row r="234" ht="12.75">
      <c r="A234" t="s">
        <v>295</v>
      </c>
    </row>
    <row r="235" ht="12.75">
      <c r="A235" t="s">
        <v>296</v>
      </c>
    </row>
    <row r="236" ht="15.75">
      <c r="A236" s="367" t="s">
        <v>297</v>
      </c>
    </row>
    <row r="238" ht="12.75">
      <c r="A238" t="s">
        <v>298</v>
      </c>
    </row>
    <row r="239" ht="12.75">
      <c r="A239" t="s">
        <v>299</v>
      </c>
    </row>
    <row r="240" ht="12.75">
      <c r="A240" t="s">
        <v>300</v>
      </c>
    </row>
    <row r="241" ht="12.75">
      <c r="A241" t="s">
        <v>301</v>
      </c>
    </row>
    <row r="242" ht="12.75">
      <c r="A242" t="s">
        <v>302</v>
      </c>
    </row>
    <row r="243" s="395" customFormat="1" ht="18">
      <c r="A243" s="395" t="s">
        <v>303</v>
      </c>
    </row>
    <row r="244" ht="12.75">
      <c r="A244" t="s">
        <v>304</v>
      </c>
    </row>
    <row r="245" ht="12.75">
      <c r="A245" t="s">
        <v>305</v>
      </c>
    </row>
    <row r="247" ht="15.75">
      <c r="A247" s="367" t="s">
        <v>306</v>
      </c>
    </row>
    <row r="248" ht="12.75">
      <c r="A248" t="s">
        <v>307</v>
      </c>
    </row>
    <row r="249" ht="12.75">
      <c r="A249" t="s">
        <v>308</v>
      </c>
    </row>
    <row r="250" ht="12.75">
      <c r="A250" t="s">
        <v>309</v>
      </c>
    </row>
    <row r="251" ht="15.75">
      <c r="A251" s="367" t="s">
        <v>310</v>
      </c>
    </row>
    <row r="252" ht="12.75">
      <c r="A252" t="s">
        <v>311</v>
      </c>
    </row>
    <row r="253" ht="12.75">
      <c r="A253" t="s">
        <v>312</v>
      </c>
    </row>
    <row r="255" ht="12.75">
      <c r="A255" t="s">
        <v>313</v>
      </c>
    </row>
    <row r="256" ht="12.75">
      <c r="A256" s="366" t="s">
        <v>314</v>
      </c>
    </row>
    <row r="257" ht="12.75">
      <c r="A257" t="s">
        <v>315</v>
      </c>
    </row>
    <row r="259" ht="12.75">
      <c r="A259" t="s">
        <v>316</v>
      </c>
    </row>
    <row r="260" ht="12.75">
      <c r="A260" t="s">
        <v>317</v>
      </c>
    </row>
    <row r="261" ht="12.75">
      <c r="A261" t="s">
        <v>318</v>
      </c>
    </row>
    <row r="262" ht="12.75">
      <c r="A262" t="s">
        <v>319</v>
      </c>
    </row>
    <row r="263" ht="12.75">
      <c r="A263" t="s">
        <v>320</v>
      </c>
    </row>
    <row r="264" ht="12.75">
      <c r="A264" t="s">
        <v>321</v>
      </c>
    </row>
    <row r="265" ht="12.75">
      <c r="A265" s="366" t="s">
        <v>322</v>
      </c>
    </row>
    <row r="266" ht="12.75">
      <c r="A266" s="366" t="s">
        <v>323</v>
      </c>
    </row>
    <row r="267" ht="12.75">
      <c r="A267" s="366" t="s">
        <v>324</v>
      </c>
    </row>
    <row r="268" ht="12.75">
      <c r="A268" t="s">
        <v>325</v>
      </c>
    </row>
    <row r="269" ht="12.75">
      <c r="A269" t="s">
        <v>326</v>
      </c>
    </row>
    <row r="271" ht="12.75">
      <c r="A271" t="s">
        <v>327</v>
      </c>
    </row>
    <row r="272" ht="12.75">
      <c r="A272" t="s">
        <v>328</v>
      </c>
    </row>
    <row r="273" ht="12.75">
      <c r="A273" t="s">
        <v>329</v>
      </c>
    </row>
    <row r="275" ht="12.75">
      <c r="A275" t="s">
        <v>330</v>
      </c>
    </row>
    <row r="276" ht="12.75">
      <c r="A276" t="s">
        <v>331</v>
      </c>
    </row>
    <row r="277" ht="12.75">
      <c r="A277" t="s">
        <v>332</v>
      </c>
    </row>
    <row r="278" ht="12.75">
      <c r="A278" t="s">
        <v>333</v>
      </c>
    </row>
    <row r="279" ht="12.75">
      <c r="A279" t="s">
        <v>334</v>
      </c>
    </row>
    <row r="280" ht="12.75">
      <c r="A280" t="s">
        <v>335</v>
      </c>
    </row>
    <row r="282" spans="1:13" ht="15.75">
      <c r="A282" s="396" t="s">
        <v>336</v>
      </c>
      <c r="B282" s="17"/>
      <c r="C282" s="17"/>
      <c r="D282" s="17"/>
      <c r="E282" s="17"/>
      <c r="F282" s="17"/>
      <c r="G282" s="17"/>
      <c r="H282" s="55"/>
      <c r="I282" s="17"/>
      <c r="J282" s="55"/>
      <c r="K282" s="17"/>
      <c r="L282" s="17"/>
      <c r="M282" s="17"/>
    </row>
    <row r="283" spans="1:13" ht="12.75">
      <c r="A283" s="397" t="s">
        <v>337</v>
      </c>
      <c r="B283" s="17"/>
      <c r="C283" s="17"/>
      <c r="D283" s="17"/>
      <c r="E283" s="17"/>
      <c r="F283" s="17"/>
      <c r="G283" s="17"/>
      <c r="H283" s="55"/>
      <c r="I283" s="17"/>
      <c r="J283" s="55"/>
      <c r="K283" s="17"/>
      <c r="L283" s="17"/>
      <c r="M283" s="17"/>
    </row>
    <row r="284" spans="1:13" ht="12.75">
      <c r="A284" s="397" t="s">
        <v>338</v>
      </c>
      <c r="B284" s="17"/>
      <c r="C284" s="17"/>
      <c r="D284" s="17"/>
      <c r="E284" s="17"/>
      <c r="F284" s="17"/>
      <c r="G284" s="17"/>
      <c r="H284" s="55"/>
      <c r="I284" s="55"/>
      <c r="J284" s="55"/>
      <c r="K284" s="17"/>
      <c r="L284" s="17"/>
      <c r="M284" s="17"/>
    </row>
    <row r="285" spans="1:13" ht="12.75">
      <c r="A285" s="397" t="s">
        <v>339</v>
      </c>
      <c r="B285" s="17"/>
      <c r="C285" s="17"/>
      <c r="D285" s="17"/>
      <c r="E285" s="17"/>
      <c r="F285" s="17"/>
      <c r="G285" s="17"/>
      <c r="H285" s="55"/>
      <c r="I285" s="55"/>
      <c r="J285" s="55"/>
      <c r="K285" s="17"/>
      <c r="L285" s="50"/>
      <c r="M285" s="50"/>
    </row>
    <row r="286" spans="1:13" ht="12.75">
      <c r="A286" s="397" t="s">
        <v>340</v>
      </c>
      <c r="B286" s="17"/>
      <c r="C286" s="17"/>
      <c r="D286" s="17"/>
      <c r="E286" s="17"/>
      <c r="F286" s="17"/>
      <c r="G286" s="17"/>
      <c r="H286" s="55"/>
      <c r="I286" s="17"/>
      <c r="J286" s="55"/>
      <c r="K286" s="398"/>
      <c r="L286" s="50"/>
      <c r="M286" s="399"/>
    </row>
    <row r="287" spans="1:13" ht="12.75">
      <c r="A287" s="397" t="s">
        <v>341</v>
      </c>
      <c r="B287" s="17"/>
      <c r="C287" s="17"/>
      <c r="D287" s="17"/>
      <c r="E287" s="17"/>
      <c r="F287" s="17"/>
      <c r="G287" s="17"/>
      <c r="H287" s="55"/>
      <c r="I287" s="398"/>
      <c r="J287" s="55"/>
      <c r="K287" s="17"/>
      <c r="L287" s="17"/>
      <c r="M287" s="399"/>
    </row>
    <row r="288" spans="1:13" ht="12.75">
      <c r="A288" s="397" t="s">
        <v>342</v>
      </c>
      <c r="B288" s="17"/>
      <c r="C288" s="17"/>
      <c r="D288" s="17"/>
      <c r="E288" s="17"/>
      <c r="F288" s="17"/>
      <c r="G288" s="17"/>
      <c r="H288" s="55"/>
      <c r="I288" s="55"/>
      <c r="J288" s="55"/>
      <c r="K288" s="17"/>
      <c r="L288" s="17"/>
      <c r="M288" s="17"/>
    </row>
    <row r="289" spans="1:13" ht="12.75">
      <c r="A289" s="400" t="s">
        <v>343</v>
      </c>
      <c r="B289" s="17"/>
      <c r="C289" s="17"/>
      <c r="D289" s="17"/>
      <c r="E289" s="17"/>
      <c r="F289" s="17"/>
      <c r="G289" s="17"/>
      <c r="H289" s="55"/>
      <c r="I289" s="17"/>
      <c r="J289" s="55"/>
      <c r="K289" s="17"/>
      <c r="L289" s="17"/>
      <c r="M289" s="17"/>
    </row>
    <row r="290" spans="1:13" ht="15.75">
      <c r="A290" s="397" t="s">
        <v>344</v>
      </c>
      <c r="B290" s="17"/>
      <c r="C290" s="50"/>
      <c r="D290" s="17"/>
      <c r="E290" s="17"/>
      <c r="F290" s="50"/>
      <c r="G290" s="16"/>
      <c r="H290" s="55"/>
      <c r="I290" s="17"/>
      <c r="J290" s="55"/>
      <c r="K290" s="16"/>
      <c r="L290" s="51"/>
      <c r="M290" s="401"/>
    </row>
    <row r="291" spans="1:13" ht="12.75">
      <c r="A291" s="397" t="s">
        <v>345</v>
      </c>
      <c r="B291" s="16"/>
      <c r="C291" s="50"/>
      <c r="D291" s="402"/>
      <c r="E291" s="403"/>
      <c r="F291" s="382"/>
      <c r="G291" s="16"/>
      <c r="H291" s="55"/>
      <c r="I291" s="16"/>
      <c r="J291" s="55"/>
      <c r="K291" s="16"/>
      <c r="L291" s="17"/>
      <c r="M291" s="401"/>
    </row>
    <row r="292" spans="1:13" ht="12.75">
      <c r="A292" s="397" t="s">
        <v>346</v>
      </c>
      <c r="B292" s="16"/>
      <c r="C292" s="50"/>
      <c r="D292" s="402"/>
      <c r="E292" s="403"/>
      <c r="F292" s="382"/>
      <c r="G292" s="16"/>
      <c r="H292" s="55"/>
      <c r="I292" s="16"/>
      <c r="J292" s="55"/>
      <c r="K292" s="16"/>
      <c r="L292" s="17"/>
      <c r="M292" s="401"/>
    </row>
    <row r="293" spans="1:13" ht="12.75">
      <c r="A293" s="397" t="s">
        <v>347</v>
      </c>
      <c r="B293" s="16"/>
      <c r="C293" s="50"/>
      <c r="D293" s="402"/>
      <c r="E293" s="403"/>
      <c r="F293" s="382"/>
      <c r="G293" s="16"/>
      <c r="H293" s="55"/>
      <c r="I293" s="16"/>
      <c r="J293" s="55"/>
      <c r="K293" s="16"/>
      <c r="L293" s="17"/>
      <c r="M293" s="401"/>
    </row>
    <row r="294" spans="1:13" ht="12.75">
      <c r="A294" s="397" t="s">
        <v>348</v>
      </c>
      <c r="B294" s="16"/>
      <c r="C294" s="50"/>
      <c r="D294" s="402"/>
      <c r="E294" s="403"/>
      <c r="F294" s="382"/>
      <c r="G294" s="16"/>
      <c r="H294" s="55"/>
      <c r="I294" s="16"/>
      <c r="J294" s="55"/>
      <c r="K294" s="16"/>
      <c r="L294" s="17"/>
      <c r="M294" s="401"/>
    </row>
    <row r="295" spans="1:13" ht="12.75">
      <c r="A295" s="397" t="s">
        <v>349</v>
      </c>
      <c r="B295" s="16"/>
      <c r="C295" s="50"/>
      <c r="D295" s="402"/>
      <c r="E295" s="403"/>
      <c r="F295" s="382"/>
      <c r="G295" s="16"/>
      <c r="H295" s="55"/>
      <c r="I295" s="16"/>
      <c r="J295" s="55"/>
      <c r="K295" s="16"/>
      <c r="L295" s="17"/>
      <c r="M295" s="401"/>
    </row>
    <row r="296" spans="1:13" ht="12.75">
      <c r="A296" s="397" t="s">
        <v>350</v>
      </c>
      <c r="B296" s="17"/>
      <c r="C296" s="17"/>
      <c r="D296" s="17"/>
      <c r="E296" s="17"/>
      <c r="F296" s="17"/>
      <c r="G296" s="17"/>
      <c r="H296" s="55"/>
      <c r="I296" s="55"/>
      <c r="J296" s="55"/>
      <c r="K296" s="17"/>
      <c r="L296" s="17"/>
      <c r="M296" s="17"/>
    </row>
    <row r="297" ht="12.75">
      <c r="A297" s="397" t="s">
        <v>351</v>
      </c>
    </row>
    <row r="298" ht="12.75">
      <c r="A298" s="397" t="s">
        <v>352</v>
      </c>
    </row>
    <row r="299" ht="12.75">
      <c r="A299" s="397" t="s">
        <v>353</v>
      </c>
    </row>
    <row r="300" ht="12.75">
      <c r="A300" s="397" t="s">
        <v>354</v>
      </c>
    </row>
    <row r="301" ht="18">
      <c r="A301" s="404" t="s">
        <v>355</v>
      </c>
    </row>
    <row r="302" ht="12.75">
      <c r="A302" s="397" t="s">
        <v>356</v>
      </c>
    </row>
    <row r="303" ht="12.75">
      <c r="A303" s="397" t="s">
        <v>357</v>
      </c>
    </row>
    <row r="304" ht="12.75">
      <c r="A304" s="397" t="s">
        <v>358</v>
      </c>
    </row>
    <row r="305" ht="12.75">
      <c r="A305" s="397" t="s">
        <v>359</v>
      </c>
    </row>
    <row r="306" ht="12.75">
      <c r="A306" s="397" t="s">
        <v>360</v>
      </c>
    </row>
    <row r="307" ht="12.75">
      <c r="A307" s="397" t="s">
        <v>361</v>
      </c>
    </row>
    <row r="308" ht="12.75">
      <c r="A308" s="397" t="s">
        <v>362</v>
      </c>
    </row>
    <row r="309" ht="12.75">
      <c r="A309" s="397" t="s">
        <v>363</v>
      </c>
    </row>
    <row r="310" ht="12.75">
      <c r="A310" s="397" t="s">
        <v>364</v>
      </c>
    </row>
    <row r="311" ht="12.75">
      <c r="A311" s="397" t="s">
        <v>365</v>
      </c>
    </row>
    <row r="312" ht="12.75">
      <c r="A312" s="397" t="s">
        <v>366</v>
      </c>
    </row>
    <row r="313" ht="12.75">
      <c r="A313" s="397"/>
    </row>
    <row r="314" ht="12.75">
      <c r="A314" s="397" t="s">
        <v>367</v>
      </c>
    </row>
    <row r="315" ht="12.75">
      <c r="A315" s="397" t="s">
        <v>368</v>
      </c>
    </row>
    <row r="316" ht="12.75">
      <c r="A316" s="397" t="s">
        <v>369</v>
      </c>
    </row>
    <row r="317" ht="12.75">
      <c r="A317" s="337" t="s">
        <v>370</v>
      </c>
    </row>
    <row r="318" ht="12.75">
      <c r="A318" s="337" t="s">
        <v>371</v>
      </c>
    </row>
    <row r="319" ht="12.75">
      <c r="A319" s="337"/>
    </row>
    <row r="320" ht="12.75">
      <c r="A320" s="405" t="s">
        <v>372</v>
      </c>
    </row>
    <row r="321" ht="12.75">
      <c r="A321" s="337" t="s">
        <v>373</v>
      </c>
    </row>
    <row r="322" ht="12.75">
      <c r="A322" s="337" t="s">
        <v>374</v>
      </c>
    </row>
    <row r="323" ht="12.75">
      <c r="A323" s="337" t="s">
        <v>375</v>
      </c>
    </row>
    <row r="324" ht="12.75">
      <c r="A324" s="337" t="s">
        <v>376</v>
      </c>
    </row>
    <row r="325" ht="12.75">
      <c r="A325" s="337" t="s">
        <v>377</v>
      </c>
    </row>
    <row r="326" ht="12.75">
      <c r="A326" s="337" t="s">
        <v>378</v>
      </c>
    </row>
    <row r="327" ht="12.75">
      <c r="A327" s="337"/>
    </row>
    <row r="328" ht="12.75">
      <c r="A328" s="337" t="s">
        <v>379</v>
      </c>
    </row>
    <row r="329" ht="12.75">
      <c r="A329" s="337" t="s">
        <v>380</v>
      </c>
    </row>
    <row r="330" ht="12.75">
      <c r="A330" s="337" t="s">
        <v>381</v>
      </c>
    </row>
    <row r="331" ht="12.75">
      <c r="A331" s="337"/>
    </row>
    <row r="332" ht="12.75">
      <c r="A332" s="337"/>
    </row>
    <row r="333" ht="15.75">
      <c r="A333" s="406" t="s">
        <v>382</v>
      </c>
    </row>
    <row r="334" ht="12.75">
      <c r="A334" t="s">
        <v>383</v>
      </c>
    </row>
    <row r="335" ht="12.75">
      <c r="A335" t="s">
        <v>384</v>
      </c>
    </row>
    <row r="336" ht="12.75">
      <c r="A336" t="s">
        <v>385</v>
      </c>
    </row>
    <row r="337" ht="12.75">
      <c r="A337" t="s">
        <v>386</v>
      </c>
    </row>
    <row r="338" ht="12.75">
      <c r="A338" t="s">
        <v>387</v>
      </c>
    </row>
    <row r="339" ht="12.75">
      <c r="A339" t="s">
        <v>388</v>
      </c>
    </row>
    <row r="340" ht="12.75">
      <c r="A340" t="s">
        <v>389</v>
      </c>
    </row>
    <row r="341" ht="12.75">
      <c r="A341" t="s">
        <v>390</v>
      </c>
    </row>
    <row r="342" ht="12.75">
      <c r="A342" t="s">
        <v>391</v>
      </c>
    </row>
    <row r="343" ht="12.75">
      <c r="A343" t="s">
        <v>392</v>
      </c>
    </row>
    <row r="345" ht="12.75">
      <c r="A345" t="s">
        <v>393</v>
      </c>
    </row>
    <row r="346" ht="12.75">
      <c r="A346" t="s">
        <v>394</v>
      </c>
    </row>
    <row r="347" ht="12.75">
      <c r="A347" t="s">
        <v>395</v>
      </c>
    </row>
    <row r="349" ht="12.75">
      <c r="A349" s="407"/>
    </row>
  </sheetData>
  <mergeCells count="33">
    <mergeCell ref="A1:U1"/>
    <mergeCell ref="C2:Q2"/>
    <mergeCell ref="R2:U2"/>
    <mergeCell ref="O6:Q6"/>
    <mergeCell ref="O7:Q7"/>
    <mergeCell ref="O8:Q8"/>
    <mergeCell ref="O9:Q9"/>
    <mergeCell ref="O29:Q29"/>
    <mergeCell ref="E65:I65"/>
    <mergeCell ref="N65:Q65"/>
    <mergeCell ref="E88:I88"/>
    <mergeCell ref="N88:Q88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8:D138"/>
    <mergeCell ref="C134:D134"/>
    <mergeCell ref="C135:D135"/>
    <mergeCell ref="C136:D136"/>
    <mergeCell ref="C137:D137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">
      <selection activeCell="G1" sqref="G1"/>
    </sheetView>
  </sheetViews>
  <sheetFormatPr defaultColWidth="11.421875" defaultRowHeight="12.75"/>
  <sheetData>
    <row r="24" ht="6.75" customHeight="1"/>
    <row r="25" ht="12.75" hidden="1"/>
    <row r="26" ht="12.75" hidden="1"/>
    <row r="27" ht="12.75" hidden="1"/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Nadine</dc:creator>
  <cp:keywords/>
  <dc:description/>
  <cp:lastModifiedBy>aa</cp:lastModifiedBy>
  <cp:lastPrinted>2006-04-06T19:12:58Z</cp:lastPrinted>
  <dcterms:created xsi:type="dcterms:W3CDTF">2006-03-06T19:47:20Z</dcterms:created>
  <dcterms:modified xsi:type="dcterms:W3CDTF">2006-05-13T13:37:16Z</dcterms:modified>
  <cp:category/>
  <cp:version/>
  <cp:contentType/>
  <cp:contentStatus/>
</cp:coreProperties>
</file>